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filterPrivacy="1"/>
  <xr:revisionPtr revIDLastSave="0" documentId="8_{4570A972-8514-4394-80DB-6A7DEE1C054D}" xr6:coauthVersionLast="37" xr6:coauthVersionMax="37" xr10:uidLastSave="{00000000-0000-0000-0000-000000000000}"/>
  <bookViews>
    <workbookView xWindow="0" yWindow="0" windowWidth="20730" windowHeight="11760" xr2:uid="{00000000-000D-0000-FFFF-FFFF00000000}"/>
  </bookViews>
  <sheets>
    <sheet name="AKTUÁLNÍ ZI zm. č.1" sheetId="18" r:id="rId1"/>
  </sheets>
  <definedNames>
    <definedName name="_xlnm._FilterDatabase" localSheetId="0" hidden="1">'AKTUÁLNÍ ZI zm. č.1'!$A$4:$AA$537</definedName>
    <definedName name="_xlnm.Print_Titles" localSheetId="0">'AKTUÁLNÍ ZI zm. č.1'!$1:$3</definedName>
    <definedName name="_xlnm.Print_Area" localSheetId="0">'AKTUÁLNÍ ZI zm. č.1'!$A$1:$AA$553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2" i="18" l="1"/>
  <c r="H553" i="18" l="1"/>
  <c r="H549" i="18"/>
  <c r="V534" i="18"/>
  <c r="U534" i="18"/>
  <c r="T534" i="18"/>
  <c r="S534" i="18"/>
  <c r="Q534" i="18"/>
  <c r="P534" i="18"/>
  <c r="O534" i="18"/>
  <c r="N534" i="18"/>
  <c r="M534" i="18"/>
  <c r="L534" i="18"/>
  <c r="J534" i="18"/>
  <c r="I534" i="18"/>
  <c r="H534" i="18"/>
  <c r="R532" i="18"/>
  <c r="V531" i="18"/>
  <c r="U531" i="18"/>
  <c r="T531" i="18"/>
  <c r="S531" i="18"/>
  <c r="O531" i="18"/>
  <c r="N531" i="18"/>
  <c r="M531" i="18"/>
  <c r="K531" i="18"/>
  <c r="J531" i="18"/>
  <c r="I531" i="18"/>
  <c r="R529" i="18"/>
  <c r="R528" i="18"/>
  <c r="R527" i="18"/>
  <c r="R526" i="18"/>
  <c r="P525" i="18"/>
  <c r="R525" i="18" s="1"/>
  <c r="L525" i="18"/>
  <c r="K525" i="18"/>
  <c r="P524" i="18"/>
  <c r="R524" i="18" s="1"/>
  <c r="L524" i="18"/>
  <c r="Q523" i="18"/>
  <c r="R523" i="18" s="1"/>
  <c r="Q522" i="18"/>
  <c r="R522" i="18" s="1"/>
  <c r="Q521" i="18"/>
  <c r="R521" i="18" s="1"/>
  <c r="Q520" i="18"/>
  <c r="R519" i="18"/>
  <c r="R518" i="18"/>
  <c r="R517" i="18"/>
  <c r="R516" i="18"/>
  <c r="R515" i="18"/>
  <c r="R514" i="18"/>
  <c r="R513" i="18"/>
  <c r="R512" i="18"/>
  <c r="R511" i="18"/>
  <c r="R510" i="18"/>
  <c r="R509" i="18"/>
  <c r="R508" i="18"/>
  <c r="R507" i="18"/>
  <c r="R506" i="18"/>
  <c r="R505" i="18"/>
  <c r="R504" i="18"/>
  <c r="R503" i="18"/>
  <c r="R502" i="18"/>
  <c r="R501" i="18"/>
  <c r="R500" i="18"/>
  <c r="R499" i="18"/>
  <c r="R498" i="18"/>
  <c r="R497" i="18"/>
  <c r="R496" i="18"/>
  <c r="R495" i="18"/>
  <c r="R494" i="18"/>
  <c r="R493" i="18"/>
  <c r="R492" i="18"/>
  <c r="R491" i="18"/>
  <c r="R490" i="18"/>
  <c r="R489" i="18"/>
  <c r="R488" i="18"/>
  <c r="R487" i="18"/>
  <c r="R486" i="18"/>
  <c r="R485" i="18"/>
  <c r="R484" i="18"/>
  <c r="R483" i="18"/>
  <c r="R482" i="18"/>
  <c r="R481" i="18"/>
  <c r="R480" i="18"/>
  <c r="P479" i="18"/>
  <c r="R479" i="18" s="1"/>
  <c r="L479" i="18"/>
  <c r="R478" i="18"/>
  <c r="R477" i="18"/>
  <c r="R476" i="18"/>
  <c r="R475" i="18"/>
  <c r="R474" i="18"/>
  <c r="R473" i="18"/>
  <c r="R472" i="18"/>
  <c r="R471" i="18"/>
  <c r="R470" i="18"/>
  <c r="R469" i="18"/>
  <c r="R468" i="18"/>
  <c r="R467" i="18"/>
  <c r="R466" i="18"/>
  <c r="H466" i="18"/>
  <c r="R465" i="18"/>
  <c r="R464" i="18"/>
  <c r="R463" i="18"/>
  <c r="H463" i="18"/>
  <c r="R462" i="18"/>
  <c r="R461" i="18"/>
  <c r="R460" i="18"/>
  <c r="P460" i="18"/>
  <c r="L460" i="18"/>
  <c r="P459" i="18"/>
  <c r="R459" i="18" s="1"/>
  <c r="P458" i="18"/>
  <c r="P531" i="18" s="1"/>
  <c r="L458" i="18"/>
  <c r="R457" i="18"/>
  <c r="R456" i="18"/>
  <c r="R455" i="18"/>
  <c r="R454" i="18"/>
  <c r="R453" i="18"/>
  <c r="R452" i="18"/>
  <c r="R451" i="18"/>
  <c r="R450" i="18"/>
  <c r="R449" i="18"/>
  <c r="H449" i="18"/>
  <c r="V448" i="18"/>
  <c r="U448" i="18"/>
  <c r="T448" i="18"/>
  <c r="S448" i="18"/>
  <c r="Q448" i="18"/>
  <c r="O448" i="18"/>
  <c r="N448" i="18"/>
  <c r="M448" i="18"/>
  <c r="L448" i="18"/>
  <c r="J448" i="18"/>
  <c r="I448" i="18"/>
  <c r="H448" i="18"/>
  <c r="R446" i="18"/>
  <c r="P445" i="18"/>
  <c r="R445" i="18" s="1"/>
  <c r="V444" i="18"/>
  <c r="U444" i="18"/>
  <c r="T444" i="18"/>
  <c r="S444" i="18"/>
  <c r="Q444" i="18"/>
  <c r="P444" i="18"/>
  <c r="O444" i="18"/>
  <c r="N444" i="18"/>
  <c r="M444" i="18"/>
  <c r="L444" i="18"/>
  <c r="J444" i="18"/>
  <c r="I444" i="18"/>
  <c r="H444" i="18"/>
  <c r="R442" i="18"/>
  <c r="V441" i="18"/>
  <c r="U441" i="18"/>
  <c r="T441" i="18"/>
  <c r="S441" i="18"/>
  <c r="Q441" i="18"/>
  <c r="P441" i="18"/>
  <c r="O441" i="18"/>
  <c r="N441" i="18"/>
  <c r="M441" i="18"/>
  <c r="J441" i="18"/>
  <c r="I441" i="18"/>
  <c r="H441" i="18"/>
  <c r="R439" i="18"/>
  <c r="R438" i="18"/>
  <c r="P438" i="18"/>
  <c r="L438" i="18"/>
  <c r="L441" i="18" s="1"/>
  <c r="K438" i="18"/>
  <c r="K441" i="18" s="1"/>
  <c r="R437" i="18"/>
  <c r="V436" i="18"/>
  <c r="U436" i="18"/>
  <c r="T436" i="18"/>
  <c r="S436" i="18"/>
  <c r="N436" i="18"/>
  <c r="M436" i="18"/>
  <c r="L436" i="18"/>
  <c r="J436" i="18"/>
  <c r="I436" i="18"/>
  <c r="P434" i="18"/>
  <c r="R434" i="18" s="1"/>
  <c r="H434" i="18"/>
  <c r="R433" i="18"/>
  <c r="R432" i="18"/>
  <c r="R431" i="18"/>
  <c r="R430" i="18"/>
  <c r="R429" i="18"/>
  <c r="P429" i="18"/>
  <c r="H429" i="18"/>
  <c r="P427" i="18"/>
  <c r="Q427" i="18" s="1"/>
  <c r="H427" i="18"/>
  <c r="Q426" i="18"/>
  <c r="P426" i="18"/>
  <c r="H426" i="18"/>
  <c r="R425" i="18"/>
  <c r="R423" i="18"/>
  <c r="P422" i="18"/>
  <c r="R422" i="18" s="1"/>
  <c r="R421" i="18"/>
  <c r="P420" i="18"/>
  <c r="R420" i="18" s="1"/>
  <c r="R419" i="18"/>
  <c r="H418" i="18"/>
  <c r="H436" i="18" s="1"/>
  <c r="R417" i="18"/>
  <c r="R416" i="18"/>
  <c r="R415" i="18"/>
  <c r="P414" i="18"/>
  <c r="R414" i="18" s="1"/>
  <c r="P413" i="18"/>
  <c r="R413" i="18" s="1"/>
  <c r="R412" i="18"/>
  <c r="P411" i="18"/>
  <c r="R411" i="18" s="1"/>
  <c r="R410" i="18"/>
  <c r="R409" i="18"/>
  <c r="R408" i="18"/>
  <c r="R407" i="18"/>
  <c r="R405" i="18"/>
  <c r="P404" i="18"/>
  <c r="R404" i="18" s="1"/>
  <c r="P403" i="18"/>
  <c r="O403" i="18"/>
  <c r="O436" i="18" s="1"/>
  <c r="V402" i="18"/>
  <c r="U402" i="18"/>
  <c r="T402" i="18"/>
  <c r="S402" i="18"/>
  <c r="O402" i="18"/>
  <c r="M402" i="18"/>
  <c r="J402" i="18"/>
  <c r="I402" i="18"/>
  <c r="P400" i="18"/>
  <c r="Q400" i="18" s="1"/>
  <c r="R399" i="18"/>
  <c r="P398" i="18"/>
  <c r="R398" i="18" s="1"/>
  <c r="R397" i="18"/>
  <c r="R396" i="18"/>
  <c r="P396" i="18"/>
  <c r="L396" i="18"/>
  <c r="K396" i="18"/>
  <c r="R395" i="18"/>
  <c r="R394" i="18"/>
  <c r="R393" i="18"/>
  <c r="R392" i="18"/>
  <c r="R391" i="18"/>
  <c r="P390" i="18"/>
  <c r="R390" i="18" s="1"/>
  <c r="P389" i="18"/>
  <c r="R389" i="18" s="1"/>
  <c r="P388" i="18"/>
  <c r="R388" i="18" s="1"/>
  <c r="P387" i="18"/>
  <c r="Q387" i="18" s="1"/>
  <c r="R387" i="18" s="1"/>
  <c r="R386" i="18"/>
  <c r="P385" i="18"/>
  <c r="R385" i="18" s="1"/>
  <c r="R384" i="18"/>
  <c r="R383" i="18"/>
  <c r="R382" i="18"/>
  <c r="R381" i="18"/>
  <c r="P380" i="18"/>
  <c r="R380" i="18" s="1"/>
  <c r="L380" i="18"/>
  <c r="R379" i="18"/>
  <c r="R378" i="18"/>
  <c r="P377" i="18"/>
  <c r="R377" i="18" s="1"/>
  <c r="R376" i="18"/>
  <c r="P376" i="18"/>
  <c r="L376" i="18"/>
  <c r="R375" i="18"/>
  <c r="R374" i="18"/>
  <c r="R373" i="18"/>
  <c r="R372" i="18"/>
  <c r="P371" i="18"/>
  <c r="Q371" i="18" s="1"/>
  <c r="R371" i="18" s="1"/>
  <c r="K371" i="18"/>
  <c r="R370" i="18"/>
  <c r="H370" i="18"/>
  <c r="H402" i="18" s="1"/>
  <c r="R369" i="18"/>
  <c r="R368" i="18"/>
  <c r="R367" i="18"/>
  <c r="N367" i="18"/>
  <c r="P366" i="18"/>
  <c r="R366" i="18" s="1"/>
  <c r="L366" i="18"/>
  <c r="K366" i="18"/>
  <c r="R365" i="18"/>
  <c r="R364" i="18"/>
  <c r="P363" i="18"/>
  <c r="R363" i="18" s="1"/>
  <c r="L363" i="18"/>
  <c r="K363" i="18"/>
  <c r="Q362" i="18"/>
  <c r="P362" i="18"/>
  <c r="K362" i="18"/>
  <c r="K402" i="18" s="1"/>
  <c r="R361" i="18"/>
  <c r="R360" i="18"/>
  <c r="P359" i="18"/>
  <c r="R359" i="18" s="1"/>
  <c r="L359" i="18"/>
  <c r="R358" i="18"/>
  <c r="R357" i="18"/>
  <c r="R356" i="18"/>
  <c r="R355" i="18"/>
  <c r="R354" i="18"/>
  <c r="R353" i="18"/>
  <c r="R352" i="18"/>
  <c r="P351" i="18"/>
  <c r="R351" i="18" s="1"/>
  <c r="P350" i="18"/>
  <c r="P402" i="18" s="1"/>
  <c r="L350" i="18"/>
  <c r="V349" i="18"/>
  <c r="T349" i="18"/>
  <c r="S349" i="18"/>
  <c r="O349" i="18"/>
  <c r="N349" i="18"/>
  <c r="M349" i="18"/>
  <c r="J349" i="18"/>
  <c r="I349" i="18"/>
  <c r="R347" i="18"/>
  <c r="R346" i="18"/>
  <c r="P345" i="18"/>
  <c r="Q345" i="18" s="1"/>
  <c r="R345" i="18" s="1"/>
  <c r="P344" i="18"/>
  <c r="P343" i="18"/>
  <c r="R342" i="18"/>
  <c r="P341" i="18"/>
  <c r="R341" i="18" s="1"/>
  <c r="Q340" i="18"/>
  <c r="R340" i="18" s="1"/>
  <c r="R339" i="18"/>
  <c r="Q338" i="18"/>
  <c r="R338" i="18" s="1"/>
  <c r="R337" i="18"/>
  <c r="Q336" i="18"/>
  <c r="R336" i="18" s="1"/>
  <c r="Q335" i="18"/>
  <c r="R335" i="18" s="1"/>
  <c r="R334" i="18"/>
  <c r="R333" i="18"/>
  <c r="R332" i="18"/>
  <c r="R331" i="18"/>
  <c r="R330" i="18"/>
  <c r="R329" i="18"/>
  <c r="R328" i="18"/>
  <c r="R327" i="18"/>
  <c r="R326" i="18"/>
  <c r="R325" i="18"/>
  <c r="R324" i="18"/>
  <c r="R323" i="18"/>
  <c r="R322" i="18"/>
  <c r="R321" i="18"/>
  <c r="R320" i="18"/>
  <c r="R319" i="18"/>
  <c r="Q318" i="18"/>
  <c r="R318" i="18" s="1"/>
  <c r="R317" i="18"/>
  <c r="R316" i="18"/>
  <c r="R315" i="18"/>
  <c r="R314" i="18"/>
  <c r="Q313" i="18"/>
  <c r="R313" i="18" s="1"/>
  <c r="R312" i="18"/>
  <c r="R311" i="18"/>
  <c r="R310" i="18"/>
  <c r="P309" i="18"/>
  <c r="Q309" i="18" s="1"/>
  <c r="R309" i="18" s="1"/>
  <c r="Q308" i="18"/>
  <c r="R308" i="18" s="1"/>
  <c r="R307" i="18"/>
  <c r="R306" i="18"/>
  <c r="R305" i="18"/>
  <c r="P304" i="18"/>
  <c r="Q304" i="18" s="1"/>
  <c r="R304" i="18" s="1"/>
  <c r="R303" i="18"/>
  <c r="R302" i="18"/>
  <c r="R301" i="18"/>
  <c r="R300" i="18"/>
  <c r="R299" i="18"/>
  <c r="P298" i="18"/>
  <c r="Q298" i="18" s="1"/>
  <c r="R298" i="18" s="1"/>
  <c r="H298" i="18"/>
  <c r="R297" i="18"/>
  <c r="R296" i="18"/>
  <c r="R295" i="18"/>
  <c r="R294" i="18"/>
  <c r="R293" i="18"/>
  <c r="R292" i="18"/>
  <c r="R291" i="18"/>
  <c r="R290" i="18"/>
  <c r="R289" i="18"/>
  <c r="R288" i="18"/>
  <c r="R287" i="18"/>
  <c r="R286" i="18"/>
  <c r="Q285" i="18"/>
  <c r="R285" i="18" s="1"/>
  <c r="Q284" i="18"/>
  <c r="R284" i="18" s="1"/>
  <c r="P283" i="18"/>
  <c r="R283" i="18" s="1"/>
  <c r="R282" i="18"/>
  <c r="R281" i="18"/>
  <c r="R280" i="18"/>
  <c r="R279" i="18"/>
  <c r="R278" i="18"/>
  <c r="R277" i="18"/>
  <c r="R276" i="18"/>
  <c r="R275" i="18"/>
  <c r="R274" i="18"/>
  <c r="R273" i="18"/>
  <c r="R272" i="18"/>
  <c r="R271" i="18"/>
  <c r="R270" i="18"/>
  <c r="R269" i="18"/>
  <c r="R268" i="18"/>
  <c r="R267" i="18"/>
  <c r="R266" i="18"/>
  <c r="Q265" i="18"/>
  <c r="R265" i="18" s="1"/>
  <c r="Q264" i="18"/>
  <c r="R264" i="18" s="1"/>
  <c r="H264" i="18"/>
  <c r="R263" i="18"/>
  <c r="R262" i="18"/>
  <c r="R261" i="18"/>
  <c r="R260" i="18"/>
  <c r="R259" i="18"/>
  <c r="R258" i="18"/>
  <c r="R257" i="18"/>
  <c r="U256" i="18"/>
  <c r="P256" i="18"/>
  <c r="R256" i="18" s="1"/>
  <c r="R255" i="18"/>
  <c r="R254" i="18"/>
  <c r="R253" i="18"/>
  <c r="R252" i="18"/>
  <c r="Q251" i="18"/>
  <c r="R251" i="18" s="1"/>
  <c r="R250" i="18"/>
  <c r="R249" i="18"/>
  <c r="R248" i="18"/>
  <c r="R247" i="18"/>
  <c r="P246" i="18"/>
  <c r="L246" i="18"/>
  <c r="L349" i="18" s="1"/>
  <c r="Q245" i="18"/>
  <c r="R244" i="18"/>
  <c r="R243" i="18"/>
  <c r="R242" i="18"/>
  <c r="R241" i="18"/>
  <c r="R240" i="18"/>
  <c r="R239" i="18"/>
  <c r="R238" i="18"/>
  <c r="R237" i="18"/>
  <c r="U236" i="18"/>
  <c r="U349" i="18" s="1"/>
  <c r="R236" i="18"/>
  <c r="R235" i="18"/>
  <c r="H235" i="18"/>
  <c r="H349" i="18" s="1"/>
  <c r="R234" i="18"/>
  <c r="H234" i="18"/>
  <c r="R233" i="18"/>
  <c r="R232" i="18"/>
  <c r="R231" i="18"/>
  <c r="Q230" i="18"/>
  <c r="R230" i="18" s="1"/>
  <c r="V229" i="18"/>
  <c r="U229" i="18"/>
  <c r="T229" i="18"/>
  <c r="S229" i="18"/>
  <c r="J229" i="18"/>
  <c r="R227" i="18"/>
  <c r="R226" i="18"/>
  <c r="R225" i="18"/>
  <c r="R224" i="18"/>
  <c r="R223" i="18"/>
  <c r="R222" i="18"/>
  <c r="R221" i="18"/>
  <c r="R220" i="18"/>
  <c r="R219" i="18"/>
  <c r="R218" i="18"/>
  <c r="R217" i="18"/>
  <c r="R216" i="18"/>
  <c r="R215" i="18"/>
  <c r="R214" i="18"/>
  <c r="R213" i="18"/>
  <c r="R212" i="18"/>
  <c r="R211" i="18"/>
  <c r="R210" i="18"/>
  <c r="R209" i="18"/>
  <c r="R208" i="18"/>
  <c r="R207" i="18"/>
  <c r="R206" i="18"/>
  <c r="R205" i="18"/>
  <c r="R204" i="18"/>
  <c r="R203" i="18"/>
  <c r="R202" i="18"/>
  <c r="R201" i="18"/>
  <c r="R200" i="18"/>
  <c r="P199" i="18"/>
  <c r="Q199" i="18" s="1"/>
  <c r="R199" i="18" s="1"/>
  <c r="P198" i="18"/>
  <c r="P197" i="18"/>
  <c r="R197" i="18" s="1"/>
  <c r="L197" i="18"/>
  <c r="P196" i="18"/>
  <c r="R196" i="18" s="1"/>
  <c r="R195" i="18"/>
  <c r="R194" i="18"/>
  <c r="P193" i="18"/>
  <c r="Q193" i="18" s="1"/>
  <c r="R193" i="18" s="1"/>
  <c r="P192" i="18"/>
  <c r="Q192" i="18" s="1"/>
  <c r="R192" i="18" s="1"/>
  <c r="H192" i="18"/>
  <c r="P191" i="18"/>
  <c r="R191" i="18" s="1"/>
  <c r="L191" i="18"/>
  <c r="R190" i="18"/>
  <c r="P189" i="18"/>
  <c r="Q189" i="18" s="1"/>
  <c r="R189" i="18" s="1"/>
  <c r="P188" i="18"/>
  <c r="Q187" i="18"/>
  <c r="R187" i="18" s="1"/>
  <c r="R186" i="18"/>
  <c r="P185" i="18"/>
  <c r="Q185" i="18" s="1"/>
  <c r="R185" i="18" s="1"/>
  <c r="P184" i="18"/>
  <c r="Q184" i="18" s="1"/>
  <c r="R184" i="18" s="1"/>
  <c r="R183" i="18"/>
  <c r="Q182" i="18"/>
  <c r="R182" i="18" s="1"/>
  <c r="P182" i="18"/>
  <c r="P181" i="18"/>
  <c r="R181" i="18" s="1"/>
  <c r="R180" i="18"/>
  <c r="P179" i="18"/>
  <c r="R179" i="18" s="1"/>
  <c r="P178" i="18"/>
  <c r="Q178" i="18" s="1"/>
  <c r="R178" i="18" s="1"/>
  <c r="Q177" i="18"/>
  <c r="R177" i="18" s="1"/>
  <c r="R176" i="18"/>
  <c r="P176" i="18"/>
  <c r="P175" i="18"/>
  <c r="P174" i="18"/>
  <c r="P173" i="18"/>
  <c r="Q173" i="18" s="1"/>
  <c r="R173" i="18" s="1"/>
  <c r="P172" i="18"/>
  <c r="Q172" i="18" s="1"/>
  <c r="R172" i="18" s="1"/>
  <c r="R171" i="18"/>
  <c r="P170" i="18"/>
  <c r="R170" i="18" s="1"/>
  <c r="L170" i="18"/>
  <c r="R169" i="18"/>
  <c r="P168" i="18"/>
  <c r="R167" i="18"/>
  <c r="Q166" i="18"/>
  <c r="P166" i="18"/>
  <c r="R166" i="18" s="1"/>
  <c r="L166" i="18"/>
  <c r="P165" i="18"/>
  <c r="R165" i="18" s="1"/>
  <c r="L165" i="18"/>
  <c r="K165" i="18"/>
  <c r="Q164" i="18"/>
  <c r="P164" i="18"/>
  <c r="R164" i="18" s="1"/>
  <c r="L164" i="18"/>
  <c r="K164" i="18"/>
  <c r="P163" i="18"/>
  <c r="R163" i="18" s="1"/>
  <c r="M163" i="18"/>
  <c r="K163" i="18"/>
  <c r="P162" i="18"/>
  <c r="R162" i="18" s="1"/>
  <c r="L162" i="18"/>
  <c r="Q161" i="18"/>
  <c r="P161" i="18"/>
  <c r="L161" i="18"/>
  <c r="H161" i="18"/>
  <c r="Q160" i="18"/>
  <c r="P160" i="18"/>
  <c r="R160" i="18" s="1"/>
  <c r="L160" i="18"/>
  <c r="P159" i="18"/>
  <c r="K159" i="18"/>
  <c r="R158" i="18"/>
  <c r="O158" i="18"/>
  <c r="H158" i="18"/>
  <c r="P157" i="18"/>
  <c r="R157" i="18" s="1"/>
  <c r="L157" i="18"/>
  <c r="K157" i="18"/>
  <c r="H157" i="18"/>
  <c r="Q156" i="18"/>
  <c r="R156" i="18" s="1"/>
  <c r="L156" i="18"/>
  <c r="P155" i="18"/>
  <c r="R155" i="18" s="1"/>
  <c r="L155" i="18"/>
  <c r="R154" i="18"/>
  <c r="P154" i="18"/>
  <c r="P153" i="18"/>
  <c r="R153" i="18" s="1"/>
  <c r="M153" i="18"/>
  <c r="R152" i="18"/>
  <c r="R151" i="18"/>
  <c r="L151" i="18"/>
  <c r="K151" i="18"/>
  <c r="R150" i="18"/>
  <c r="R149" i="18"/>
  <c r="R148" i="18"/>
  <c r="R147" i="18"/>
  <c r="P146" i="18"/>
  <c r="Q145" i="18"/>
  <c r="R145" i="18" s="1"/>
  <c r="Q144" i="18"/>
  <c r="R144" i="18" s="1"/>
  <c r="P144" i="18"/>
  <c r="P143" i="18"/>
  <c r="R143" i="18" s="1"/>
  <c r="L143" i="18"/>
  <c r="P142" i="18"/>
  <c r="R142" i="18" s="1"/>
  <c r="L142" i="18"/>
  <c r="P141" i="18"/>
  <c r="R141" i="18" s="1"/>
  <c r="L141" i="18"/>
  <c r="P140" i="18"/>
  <c r="Q140" i="18" s="1"/>
  <c r="R140" i="18" s="1"/>
  <c r="P139" i="18"/>
  <c r="P138" i="18"/>
  <c r="P137" i="18"/>
  <c r="R137" i="18" s="1"/>
  <c r="Q136" i="18"/>
  <c r="R136" i="18" s="1"/>
  <c r="R135" i="18"/>
  <c r="R134" i="18"/>
  <c r="R133" i="18"/>
  <c r="R132" i="18"/>
  <c r="R131" i="18"/>
  <c r="P131" i="18"/>
  <c r="L131" i="18"/>
  <c r="R130" i="18"/>
  <c r="R129" i="18"/>
  <c r="R128" i="18"/>
  <c r="R127" i="18"/>
  <c r="R126" i="18"/>
  <c r="R125" i="18"/>
  <c r="R124" i="18"/>
  <c r="R123" i="18"/>
  <c r="R122" i="18"/>
  <c r="R121" i="18"/>
  <c r="R120" i="18"/>
  <c r="R119" i="18"/>
  <c r="R118" i="18"/>
  <c r="R117" i="18"/>
  <c r="R116" i="18"/>
  <c r="R115" i="18"/>
  <c r="R114" i="18"/>
  <c r="R113" i="18"/>
  <c r="R112" i="18"/>
  <c r="R111" i="18"/>
  <c r="R110" i="18"/>
  <c r="R109" i="18"/>
  <c r="R108" i="18"/>
  <c r="P107" i="18"/>
  <c r="R107" i="18" s="1"/>
  <c r="L107" i="18"/>
  <c r="K107" i="18"/>
  <c r="R106" i="18"/>
  <c r="Q105" i="18"/>
  <c r="R105" i="18" s="1"/>
  <c r="P105" i="18"/>
  <c r="R104" i="18"/>
  <c r="R103" i="18"/>
  <c r="H103" i="18"/>
  <c r="R102" i="18"/>
  <c r="R101" i="18"/>
  <c r="R100" i="18"/>
  <c r="R99" i="18"/>
  <c r="P98" i="18"/>
  <c r="R98" i="18" s="1"/>
  <c r="L98" i="18"/>
  <c r="K98" i="18"/>
  <c r="R97" i="18"/>
  <c r="P96" i="18"/>
  <c r="R96" i="18" s="1"/>
  <c r="L96" i="18"/>
  <c r="K96" i="18"/>
  <c r="Q95" i="18"/>
  <c r="R95" i="18" s="1"/>
  <c r="O95" i="18"/>
  <c r="R94" i="18"/>
  <c r="P93" i="18"/>
  <c r="R93" i="18" s="1"/>
  <c r="O93" i="18"/>
  <c r="N93" i="18"/>
  <c r="R92" i="18"/>
  <c r="R91" i="18"/>
  <c r="Q90" i="18"/>
  <c r="R90" i="18" s="1"/>
  <c r="R89" i="18"/>
  <c r="P88" i="18"/>
  <c r="R88" i="18" s="1"/>
  <c r="M88" i="18"/>
  <c r="K88" i="18"/>
  <c r="P87" i="18"/>
  <c r="R87" i="18" s="1"/>
  <c r="N87" i="18"/>
  <c r="H87" i="18"/>
  <c r="Q86" i="18"/>
  <c r="R86" i="18" s="1"/>
  <c r="H86" i="18"/>
  <c r="P85" i="18"/>
  <c r="R85" i="18" s="1"/>
  <c r="O85" i="18"/>
  <c r="I85" i="18"/>
  <c r="I229" i="18" s="1"/>
  <c r="R84" i="18"/>
  <c r="H84" i="18"/>
  <c r="R83" i="18"/>
  <c r="R82" i="18"/>
  <c r="R81" i="18"/>
  <c r="R80" i="18"/>
  <c r="R79" i="18"/>
  <c r="R78" i="18"/>
  <c r="R77" i="18"/>
  <c r="R76" i="18"/>
  <c r="R75" i="18"/>
  <c r="P74" i="18"/>
  <c r="R74" i="18" s="1"/>
  <c r="L74" i="18"/>
  <c r="K74" i="18"/>
  <c r="P73" i="18"/>
  <c r="R73" i="18" s="1"/>
  <c r="R72" i="18"/>
  <c r="R71" i="18"/>
  <c r="H71" i="18"/>
  <c r="Q70" i="18"/>
  <c r="R70" i="18" s="1"/>
  <c r="H70" i="18"/>
  <c r="R69" i="18"/>
  <c r="P68" i="18"/>
  <c r="H68" i="18"/>
  <c r="R67" i="18"/>
  <c r="H67" i="18"/>
  <c r="R66" i="18"/>
  <c r="R65" i="18"/>
  <c r="R64" i="18"/>
  <c r="H64" i="18"/>
  <c r="R63" i="18"/>
  <c r="R62" i="18"/>
  <c r="H62" i="18"/>
  <c r="R61" i="18"/>
  <c r="K61" i="18"/>
  <c r="P60" i="18"/>
  <c r="R60" i="18" s="1"/>
  <c r="R59" i="18"/>
  <c r="H59" i="18"/>
  <c r="R58" i="18"/>
  <c r="H58" i="18"/>
  <c r="R57" i="18"/>
  <c r="R56" i="18"/>
  <c r="R55" i="18"/>
  <c r="R54" i="18"/>
  <c r="H54" i="18"/>
  <c r="R53" i="18"/>
  <c r="H53" i="18"/>
  <c r="P52" i="18"/>
  <c r="R52" i="18" s="1"/>
  <c r="R51" i="18"/>
  <c r="P51" i="18"/>
  <c r="M51" i="18"/>
  <c r="M229" i="18" s="1"/>
  <c r="K51" i="18"/>
  <c r="R50" i="18"/>
  <c r="H50" i="18"/>
  <c r="R49" i="18"/>
  <c r="P48" i="18"/>
  <c r="R48" i="18" s="1"/>
  <c r="H48" i="18"/>
  <c r="P47" i="18"/>
  <c r="H47" i="18"/>
  <c r="H229" i="18" s="1"/>
  <c r="V46" i="18"/>
  <c r="T46" i="18"/>
  <c r="S46" i="18"/>
  <c r="O46" i="18"/>
  <c r="J46" i="18"/>
  <c r="R44" i="18"/>
  <c r="R43" i="18"/>
  <c r="R42" i="18"/>
  <c r="R41" i="18"/>
  <c r="R40" i="18"/>
  <c r="R39" i="18"/>
  <c r="H39" i="18"/>
  <c r="R38" i="18"/>
  <c r="P37" i="18"/>
  <c r="Q37" i="18" s="1"/>
  <c r="Q46" i="18" s="1"/>
  <c r="R36" i="18"/>
  <c r="H36" i="18"/>
  <c r="R35" i="18"/>
  <c r="H35" i="18"/>
  <c r="R34" i="18"/>
  <c r="R33" i="18"/>
  <c r="P32" i="18"/>
  <c r="R32" i="18" s="1"/>
  <c r="R31" i="18"/>
  <c r="P30" i="18"/>
  <c r="L30" i="18"/>
  <c r="L46" i="18" s="1"/>
  <c r="H30" i="18"/>
  <c r="U29" i="18"/>
  <c r="U46" i="18" s="1"/>
  <c r="R29" i="18"/>
  <c r="R28" i="18"/>
  <c r="M28" i="18"/>
  <c r="M46" i="18" s="1"/>
  <c r="H28" i="18"/>
  <c r="R27" i="18"/>
  <c r="I27" i="18"/>
  <c r="I46" i="18" s="1"/>
  <c r="H27" i="18"/>
  <c r="H46" i="18" s="1"/>
  <c r="R26" i="18"/>
  <c r="N26" i="18"/>
  <c r="N46" i="18" s="1"/>
  <c r="H26" i="18"/>
  <c r="V25" i="18"/>
  <c r="U25" i="18"/>
  <c r="T25" i="18"/>
  <c r="S25" i="18"/>
  <c r="O25" i="18"/>
  <c r="N25" i="18"/>
  <c r="J25" i="18"/>
  <c r="I25" i="18"/>
  <c r="R23" i="18"/>
  <c r="R22" i="18"/>
  <c r="R21" i="18"/>
  <c r="Q20" i="18"/>
  <c r="Q25" i="18" s="1"/>
  <c r="H20" i="18"/>
  <c r="R19" i="18"/>
  <c r="H19" i="18"/>
  <c r="R18" i="18"/>
  <c r="R17" i="18"/>
  <c r="H17" i="18"/>
  <c r="P16" i="18"/>
  <c r="R16" i="18" s="1"/>
  <c r="R15" i="18"/>
  <c r="L15" i="18"/>
  <c r="L25" i="18" s="1"/>
  <c r="P14" i="18"/>
  <c r="R14" i="18" s="1"/>
  <c r="R13" i="18"/>
  <c r="H13" i="18"/>
  <c r="R12" i="18"/>
  <c r="M12" i="18"/>
  <c r="M25" i="18" s="1"/>
  <c r="R11" i="18"/>
  <c r="H11" i="18"/>
  <c r="V10" i="18"/>
  <c r="U10" i="18"/>
  <c r="T10" i="18"/>
  <c r="S10" i="18"/>
  <c r="Q10" i="18"/>
  <c r="N10" i="18"/>
  <c r="M10" i="18"/>
  <c r="L10" i="18"/>
  <c r="J10" i="18"/>
  <c r="I10" i="18"/>
  <c r="R8" i="18"/>
  <c r="R7" i="18"/>
  <c r="P6" i="18"/>
  <c r="R6" i="18" s="1"/>
  <c r="O6" i="18"/>
  <c r="O10" i="18" s="1"/>
  <c r="H6" i="18"/>
  <c r="H10" i="18" s="1"/>
  <c r="R5" i="18"/>
  <c r="H25" i="18" l="1"/>
  <c r="H535" i="18" s="1"/>
  <c r="P229" i="18"/>
  <c r="R161" i="18"/>
  <c r="P349" i="18"/>
  <c r="R350" i="18"/>
  <c r="P436" i="18"/>
  <c r="H531" i="18"/>
  <c r="P46" i="18"/>
  <c r="R246" i="18"/>
  <c r="P10" i="18"/>
  <c r="K229" i="18"/>
  <c r="L402" i="18"/>
  <c r="P448" i="18"/>
  <c r="L531" i="18"/>
  <c r="L229" i="18"/>
  <c r="O48" i="18"/>
  <c r="R400" i="18"/>
  <c r="R441" i="18"/>
  <c r="R448" i="18"/>
  <c r="R534" i="18"/>
  <c r="N153" i="18"/>
  <c r="N229" i="18" s="1"/>
  <c r="R444" i="18"/>
  <c r="S535" i="18"/>
  <c r="Q436" i="18"/>
  <c r="R427" i="18"/>
  <c r="Q531" i="18"/>
  <c r="R10" i="18"/>
  <c r="J535" i="18"/>
  <c r="U535" i="18"/>
  <c r="Q402" i="18"/>
  <c r="T535" i="18"/>
  <c r="V535" i="18"/>
  <c r="R37" i="18"/>
  <c r="K535" i="18"/>
  <c r="R426" i="18"/>
  <c r="M535" i="18"/>
  <c r="I535" i="18"/>
  <c r="R47" i="18"/>
  <c r="Q68" i="18"/>
  <c r="Q139" i="18"/>
  <c r="R139" i="18" s="1"/>
  <c r="Q146" i="18"/>
  <c r="R146" i="18" s="1"/>
  <c r="Q159" i="18"/>
  <c r="R159" i="18" s="1"/>
  <c r="Q175" i="18"/>
  <c r="R175" i="18" s="1"/>
  <c r="Q188" i="18"/>
  <c r="R188" i="18" s="1"/>
  <c r="Q198" i="18"/>
  <c r="R198" i="18" s="1"/>
  <c r="R245" i="18"/>
  <c r="Q344" i="18"/>
  <c r="R344" i="18" s="1"/>
  <c r="N351" i="18"/>
  <c r="N402" i="18" s="1"/>
  <c r="R520" i="18"/>
  <c r="P25" i="18"/>
  <c r="Q138" i="18"/>
  <c r="R138" i="18" s="1"/>
  <c r="Q174" i="18"/>
  <c r="R174" i="18" s="1"/>
  <c r="Q343" i="18"/>
  <c r="R343" i="18" s="1"/>
  <c r="R20" i="18"/>
  <c r="R30" i="18"/>
  <c r="R362" i="18"/>
  <c r="R403" i="18"/>
  <c r="R458" i="18"/>
  <c r="P535" i="18" l="1"/>
  <c r="L535" i="18"/>
  <c r="N535" i="18"/>
  <c r="R531" i="18"/>
  <c r="R25" i="18"/>
  <c r="R436" i="18"/>
  <c r="R402" i="18"/>
  <c r="R46" i="18"/>
  <c r="Q229" i="18"/>
  <c r="R349" i="18"/>
  <c r="R68" i="18"/>
  <c r="Q349" i="18"/>
  <c r="O47" i="18"/>
  <c r="O229" i="18" s="1"/>
  <c r="O535" i="18" s="1"/>
  <c r="R229" i="18" l="1"/>
  <c r="Q535" i="18"/>
  <c r="R535" i="18" l="1"/>
</calcChain>
</file>

<file path=xl/sharedStrings.xml><?xml version="1.0" encoding="utf-8"?>
<sst xmlns="http://schemas.openxmlformats.org/spreadsheetml/2006/main" count="5773" uniqueCount="1964">
  <si>
    <t>Poř. č.</t>
  </si>
  <si>
    <t>Číslo akce ADA</t>
  </si>
  <si>
    <t>Realizátor akce (zadavatel)</t>
  </si>
  <si>
    <t>Organizace</t>
  </si>
  <si>
    <t>Název akce</t>
  </si>
  <si>
    <t xml:space="preserve">Celkové náklady </t>
  </si>
  <si>
    <t>Jiné zdroje</t>
  </si>
  <si>
    <t>Poznámka</t>
  </si>
  <si>
    <t>Změna č. 1</t>
  </si>
  <si>
    <t>1/2019/KHT</t>
  </si>
  <si>
    <t>0003475</t>
  </si>
  <si>
    <t>082-15/2016/RK ze dne 21.4.2016        012-22/2016/ZK ze dne 25.4.2016</t>
  </si>
  <si>
    <t>SK</t>
  </si>
  <si>
    <t xml:space="preserve">Materiální a technické vybavení pracoviště krizového řízení, zajištění komunikačních prostředků a informační podpory pro krizové řízení v kraji </t>
  </si>
  <si>
    <t>PROBÍHÁ VZ</t>
  </si>
  <si>
    <t>2/2019/KHT</t>
  </si>
  <si>
    <t>Projekt výcvikového areálu pro zvládání rizik</t>
  </si>
  <si>
    <t>1/2019/OŘÚ</t>
  </si>
  <si>
    <t>0001911</t>
  </si>
  <si>
    <t>Výměna oken v budově KÚ</t>
  </si>
  <si>
    <t>PŘÍPRAVA VZ</t>
  </si>
  <si>
    <t>2/2019</t>
  </si>
  <si>
    <t>2/2019/OŘÚ</t>
  </si>
  <si>
    <t>0001513</t>
  </si>
  <si>
    <t>Pořízení nových  kopírovacích strojů</t>
  </si>
  <si>
    <t>10/2019</t>
  </si>
  <si>
    <t>3/2019/OŘÚ</t>
  </si>
  <si>
    <t>0003151</t>
  </si>
  <si>
    <t xml:space="preserve">038-19/2015/RK ze dne 1.6.2015                   008-17/2015/ZK ze dne 22.6.2015 </t>
  </si>
  <si>
    <t>Instalace klimatizačních jednotek do vybraných kanceláří ve druhém patře budovy</t>
  </si>
  <si>
    <t>4/2019/OŘÚ</t>
  </si>
  <si>
    <t>0003337</t>
  </si>
  <si>
    <t>Pořízení nového užitkového vozidla</t>
  </si>
  <si>
    <t>5/2019/OŘÚ</t>
  </si>
  <si>
    <t>0003148</t>
  </si>
  <si>
    <t>Rozšíření stávající telefonní ústředny</t>
  </si>
  <si>
    <t>6/2019/OŘÚ</t>
  </si>
  <si>
    <t>Zastřešení světlíku u sálu zastupitelstva SK</t>
  </si>
  <si>
    <t>7/2019/OŘÚ</t>
  </si>
  <si>
    <t>Rekonstrukce vstupu "C"</t>
  </si>
  <si>
    <t>8/2019/OŘÚ</t>
  </si>
  <si>
    <t>Rekonstrukce osvětlení v zasedací místnosti 1015</t>
  </si>
  <si>
    <t>9/2019/OŘÚ</t>
  </si>
  <si>
    <t>Výměna záložního zdroje elektrické energie UPS</t>
  </si>
  <si>
    <t>0001514</t>
  </si>
  <si>
    <t>Investiční software dle konkrétních požadavků odborů</t>
  </si>
  <si>
    <t>REALIZACE</t>
  </si>
  <si>
    <t>0001803</t>
  </si>
  <si>
    <t>Výpočetní technika</t>
  </si>
  <si>
    <t>0002821</t>
  </si>
  <si>
    <t>Software pro Informační systém KÚ</t>
  </si>
  <si>
    <t>0004972</t>
  </si>
  <si>
    <t>Obnova technologických center kraje - Praha a Kladno (TCK)</t>
  </si>
  <si>
    <t>0004971</t>
  </si>
  <si>
    <t>Zvýšení kybernetické bezpečnosti informačního systému KÚ</t>
  </si>
  <si>
    <t>Záložní UPS pro Technologická centra kraje</t>
  </si>
  <si>
    <t>Nákup a obnova výpočetní techniky</t>
  </si>
  <si>
    <t>Modernizace počítačové učebny a zasedací místnosti Rady SčK</t>
  </si>
  <si>
    <t>Datové sklady pro příspěvkové organizace</t>
  </si>
  <si>
    <t>Rozšíření hostované spisové služby o modul eIDAS</t>
  </si>
  <si>
    <t xml:space="preserve">Zavedení enterprise architektury do řízení eGovernmentu na úrovni krajského úřadu </t>
  </si>
  <si>
    <t>Požadavek vychází z povinností dle Informační koncepce České republiky ze dne 20. 9. 2018, cíle 5.3. Zavedení principů a postupů „Enterprise architektury“ do řízení eGovernmentu všech úrovní.</t>
  </si>
  <si>
    <t>Přechod IS GINIS na verzi Enterprise</t>
  </si>
  <si>
    <t>Rozšíření IS GINIS o Mobilní EPK a EPK nad příjmy</t>
  </si>
  <si>
    <t>Rozšíření IS GINIS o Dokumentový konverzní server</t>
  </si>
  <si>
    <t>1/2019/DOP</t>
  </si>
  <si>
    <t>0000120</t>
  </si>
  <si>
    <t>Výkup pozemků (včetně pod stávající sítí)</t>
  </si>
  <si>
    <t>DOP</t>
  </si>
  <si>
    <t>2/2019/DOP</t>
  </si>
  <si>
    <t>0000121</t>
  </si>
  <si>
    <t>Příprava a zabezpečení staveb silnic II. a III. třídy a drážní stavby pro lehká kolejová vozidla-tramvaje</t>
  </si>
  <si>
    <t>3/2019/DOP</t>
  </si>
  <si>
    <t>0003985</t>
  </si>
  <si>
    <t>4/2019/DOP</t>
  </si>
  <si>
    <t>0004300</t>
  </si>
  <si>
    <t>KSÚS</t>
  </si>
  <si>
    <t>III/3377 Kutná Hora - zajištění stability tělesa komunikace v Kremnické ulici  II.etapa</t>
  </si>
  <si>
    <t>5/2019/DOP</t>
  </si>
  <si>
    <t>0003947</t>
  </si>
  <si>
    <t>IDSK</t>
  </si>
  <si>
    <t>IDSK - vybavení IT technika</t>
  </si>
  <si>
    <t>6/2019/DOP</t>
  </si>
  <si>
    <t>0003946</t>
  </si>
  <si>
    <t>IDSK - nákup osobních automobilů</t>
  </si>
  <si>
    <t>9/2019/DOP</t>
  </si>
  <si>
    <t>0004619</t>
  </si>
  <si>
    <t>II/272 Kounice - Bříství, rekonstrukce</t>
  </si>
  <si>
    <t>11/2019/DOP</t>
  </si>
  <si>
    <t>0004621</t>
  </si>
  <si>
    <t>II/104 a III/1052  Jílové u Prahy, rekonstrukce silnice</t>
  </si>
  <si>
    <t>13/2019/DOP</t>
  </si>
  <si>
    <t>II/610 Chudoplesy, dopravně bezpečnostní opatření</t>
  </si>
  <si>
    <t>14/2019/DOP</t>
  </si>
  <si>
    <t>II/105 Všetice, most ev. č. 105-013</t>
  </si>
  <si>
    <t>15/2019/DOP</t>
  </si>
  <si>
    <t>0004009</t>
  </si>
  <si>
    <t>Automatické sčítače cyklistů</t>
  </si>
  <si>
    <t>16/2019/DOP</t>
  </si>
  <si>
    <t>0004213</t>
  </si>
  <si>
    <t>Výkupy pozemků při výstavbě cyklostezek</t>
  </si>
  <si>
    <t>17/2019/DOP</t>
  </si>
  <si>
    <t>045-24/2018/RK ze dne 6.8.2018
041-15/2018/ZK ze dne 27.8.2018</t>
  </si>
  <si>
    <t>III/00712 Knovíz, havarijní oprava mostu ev.č.00712-6</t>
  </si>
  <si>
    <t>18/2019/DOP</t>
  </si>
  <si>
    <t>II/330 Poříčany, úprava křižovatky s III/3308</t>
  </si>
  <si>
    <t>19/2019/DOP</t>
  </si>
  <si>
    <t xml:space="preserve">III/0037 Průhonice, oprava silnice a zvýšení bezpečnosti v ulici Újezdská </t>
  </si>
  <si>
    <t>20/2019/DOP</t>
  </si>
  <si>
    <t>Most ev. č. 1911-4 za Chrástem</t>
  </si>
  <si>
    <t>22/2019/DOP</t>
  </si>
  <si>
    <t>III/10226 Nečín - Bělohrad</t>
  </si>
  <si>
    <t>23/2019/DOP</t>
  </si>
  <si>
    <t>III/00513 Chrášťany - Chýně, havarijní stav silničního tělesa</t>
  </si>
  <si>
    <t>24/2019/DOP</t>
  </si>
  <si>
    <t>III/0069 a III/10138 Pletený Újezd, oprava silnice</t>
  </si>
  <si>
    <t>25/2019/DOP</t>
  </si>
  <si>
    <t>II/101 Říčany, mobilní protihluková stěna</t>
  </si>
  <si>
    <t>26/2019/DOP</t>
  </si>
  <si>
    <t>III/01013 Nepřevázka - most ev.č.01013-1</t>
  </si>
  <si>
    <t>27/2019/DOP</t>
  </si>
  <si>
    <t>II/121 rekonstrukce opěrné zdi v Prčici</t>
  </si>
  <si>
    <t>28/2019/DOP</t>
  </si>
  <si>
    <t>29/2019/DOP</t>
  </si>
  <si>
    <t>III/3297 Plaňany</t>
  </si>
  <si>
    <t>30/2019/DOP</t>
  </si>
  <si>
    <t>II/605 Rudná, zvýšení bezpečnosti</t>
  </si>
  <si>
    <t>31/2019/DOP</t>
  </si>
  <si>
    <t>Zvýšení bezpečnosti chodců na 3 přechodech pro pěší v obcích Libeň a Libeř</t>
  </si>
  <si>
    <t>33/2019/DOP</t>
  </si>
  <si>
    <t>Neratovice-úprava přechodů na komunikacích II/101 a III/0099 zvýšení bezpečnosti chodců</t>
  </si>
  <si>
    <t>34/2019/DOP</t>
  </si>
  <si>
    <t>II/268 x III/2683 Malobratřice, úprava nehodové křižovatky</t>
  </si>
  <si>
    <t>35/2019/DOP</t>
  </si>
  <si>
    <t>Obec Postřižín - rekonstrukce povrchů komunikací včetně chodníků</t>
  </si>
  <si>
    <t>36/2019/DOP</t>
  </si>
  <si>
    <t>Statické zajištění silnice III/6031 v obci Senohraby</t>
  </si>
  <si>
    <t>37/2019/DOP</t>
  </si>
  <si>
    <t>III/32924 Všechlapy</t>
  </si>
  <si>
    <t>38/2019/DOP</t>
  </si>
  <si>
    <t>III/1304 Vlkaneč - hr.kraje</t>
  </si>
  <si>
    <t>39/2019/DOP</t>
  </si>
  <si>
    <t>II/125 Vlašim, Vlasákova ul. (mezi OK a mostem 125-019)</t>
  </si>
  <si>
    <t>44/2019/DOP</t>
  </si>
  <si>
    <t>III/11554 Hluboš - odvodnění</t>
  </si>
  <si>
    <t>45/2019/DOP</t>
  </si>
  <si>
    <t>II/125 Kamberk, svodidla</t>
  </si>
  <si>
    <t>47/2019/DOP</t>
  </si>
  <si>
    <t>III/0075 Dolany - Hostouň</t>
  </si>
  <si>
    <t>48/2019/DOP</t>
  </si>
  <si>
    <t>III/3392 - křiž.II/339 Červené Janovice - Zhoř</t>
  </si>
  <si>
    <t>49/2019/DOP</t>
  </si>
  <si>
    <t>III/39911 Klipec po křižovatku III/32912</t>
  </si>
  <si>
    <t>78/2019/DOP</t>
  </si>
  <si>
    <t>Příprava a zabezpečení staveb cyklostezek</t>
  </si>
  <si>
    <t>79/2019/DOP</t>
  </si>
  <si>
    <t>III/00331 Slavkov, most ev.č. 00331-5</t>
  </si>
  <si>
    <t>80/2019/DOP</t>
  </si>
  <si>
    <t>2427-1 Most přes strouhu před obcí Klíčany</t>
  </si>
  <si>
    <t>81/2019/DOP</t>
  </si>
  <si>
    <t>III/23621 Karlova Ves, most ev.č.23621-1 přes potok Klučná</t>
  </si>
  <si>
    <t>83/2019/DOP</t>
  </si>
  <si>
    <t>III/27612-1, Husí Lhota, most ev.č.27612-1 přes meliorační sběrač</t>
  </si>
  <si>
    <t>84/2019/DOP</t>
  </si>
  <si>
    <t>III/12550 Červené Pečky, most ev.č. 12550-3, havarijní oprava</t>
  </si>
  <si>
    <t>85/2019/DOP</t>
  </si>
  <si>
    <t>III/1182 Zaječov, most ev.č.1182 přes Mourový potok v obci Zaječov</t>
  </si>
  <si>
    <t>0003388</t>
  </si>
  <si>
    <t>SOŠ a SOU Hořovice</t>
  </si>
  <si>
    <t>Rekonstrukce staré budovy výukového centra Tlustice 2.etapa</t>
  </si>
  <si>
    <t>0003389</t>
  </si>
  <si>
    <t>SOŠ a SOU řemesel Kutná Hora</t>
  </si>
  <si>
    <t>Rekonstrukce dílen SOŠ a SOU řemesel (stavební práce, strojní vybavení, software)</t>
  </si>
  <si>
    <t>0003709</t>
  </si>
  <si>
    <t>Gymnázium Říčany, Komenského 1280</t>
  </si>
  <si>
    <t>Výstavba nové tělocvičny u Gymnázia Říčany</t>
  </si>
  <si>
    <t>0003676</t>
  </si>
  <si>
    <t xml:space="preserve">016-06/2017/RK ze dne 16.2.2017 022-04/2017/ZK ze dne 7.3.2017     </t>
  </si>
  <si>
    <t>Gymnázium Jiřího Ortena v Kutné Hoře</t>
  </si>
  <si>
    <t>Optimalizace energetické bilance budovy Gymnázia Jiřího Ortena v Kutné Hoře</t>
  </si>
  <si>
    <t>0003844</t>
  </si>
  <si>
    <t>VOŠ a SZeŠ Benešov</t>
  </si>
  <si>
    <t>Energetické úspory VOŠ a SZeŠ Benešov</t>
  </si>
  <si>
    <t>0003847</t>
  </si>
  <si>
    <t>Gymnázium Dr. Josefa Pekaře Mladá Boleslav</t>
  </si>
  <si>
    <t>Rekonstrukce elektrických rozvodů a svítidel</t>
  </si>
  <si>
    <t>0003848</t>
  </si>
  <si>
    <t>Gymnázium Benešov</t>
  </si>
  <si>
    <t>Výstavba tělocvičny Gymnázia Benešov</t>
  </si>
  <si>
    <t>0004086</t>
  </si>
  <si>
    <t>Obchodní akademie, Střední pedagogická škola a Jazyková škola s právem státní jazykové zkoušky, Beroun, U Stadionu 486</t>
  </si>
  <si>
    <t>Výměna oken včetně parapetů</t>
  </si>
  <si>
    <t>0004075</t>
  </si>
  <si>
    <t>Střední škola designu a řemesel Kladno</t>
  </si>
  <si>
    <t>Změna centrálního vytápění na plynovou kotelnu</t>
  </si>
  <si>
    <t>0004076</t>
  </si>
  <si>
    <t>PD a zateplení střechy budovy školy</t>
  </si>
  <si>
    <t>0004053</t>
  </si>
  <si>
    <t xml:space="preserve">Střední zdravotnická škola a Vyšší odborná škola zdravotnická, Kolín, Karoliny Světlé 135 </t>
  </si>
  <si>
    <t xml:space="preserve">Rekonstrukce vnitřní silnoproudé elektroinstalace </t>
  </si>
  <si>
    <t>0004054</t>
  </si>
  <si>
    <t>Rekonstrukce výměníkové stanice</t>
  </si>
  <si>
    <t>0004055</t>
  </si>
  <si>
    <t>Základní škola a Praktická škola, Český Brod, Žitomířská 1359</t>
  </si>
  <si>
    <t>Zateplení střechy, oprava obložení stropu a stěn tělocvičny</t>
  </si>
  <si>
    <t>Vyšší odborná škola, Střední průmyslová škola a Jazyková škola s právem státní jazykové zkoušky, Kutná Hora, Masarykova 197</t>
  </si>
  <si>
    <t>0004093</t>
  </si>
  <si>
    <t>Střední odborná škola a Střední odborné učiliště řemesel, Kutná Hora, Čáslavská 202</t>
  </si>
  <si>
    <t>REKO soc. zařízení DM včetně revitalizace krytu</t>
  </si>
  <si>
    <t>0004063</t>
  </si>
  <si>
    <t>Základní škola speciální, Mladá Boleslav, Václavkova 950</t>
  </si>
  <si>
    <t>Nový objekt základní školy speciální</t>
  </si>
  <si>
    <t>0004064</t>
  </si>
  <si>
    <t>Střední odborná škola a Střední odborné učiliště, Horky nad Jizerou 35</t>
  </si>
  <si>
    <t>PD - změna vytápění budovy školy - zámek</t>
  </si>
  <si>
    <t>0004066</t>
  </si>
  <si>
    <t>Základní umělecká škola B. M. Černohorského, Nymburk, Palackého třída 574</t>
  </si>
  <si>
    <t>Stavební úpravy v podkroví budovy ZUŠ Nymburk</t>
  </si>
  <si>
    <t>0004096</t>
  </si>
  <si>
    <t>Střední zemědělská škola, Brandýs nad Labem - Stará Boleslav, Zápská 302</t>
  </si>
  <si>
    <t>PD a zateplení budovy</t>
  </si>
  <si>
    <t>0004797</t>
  </si>
  <si>
    <t>041-02/2018/RK ze dne 15.1.2018; 015-12/2018/ZK ze dne 29.1.2018</t>
  </si>
  <si>
    <t>Vyšší odborná škola a Střední zemědělská škola, Benešov, Mendelova 131</t>
  </si>
  <si>
    <t>Pořízení nové kotelny</t>
  </si>
  <si>
    <t>Rekonstrukce kotelny</t>
  </si>
  <si>
    <t>0004799</t>
  </si>
  <si>
    <t>Rekonstrukce kotelny školy</t>
  </si>
  <si>
    <t>0004773</t>
  </si>
  <si>
    <t xml:space="preserve">Základní škola, Mateřská škola speciální a Praktická škola, Jesenice, Plzeňská 63 </t>
  </si>
  <si>
    <t>Výtah - internát</t>
  </si>
  <si>
    <t>0004747</t>
  </si>
  <si>
    <t>Střední lesnická škola a Střední odborné učiliště, Křivoklát, Písky 181</t>
  </si>
  <si>
    <t>Výstavba centrální kotelny</t>
  </si>
  <si>
    <t>053-12/2018/Rk ze dne 6.4.2018         033-13/2018/ZK ze dne 26.4.2018</t>
  </si>
  <si>
    <t>0004988</t>
  </si>
  <si>
    <t>Komplexní rekonstrukce kanalizace v celém areálu školy</t>
  </si>
  <si>
    <t>0004990</t>
  </si>
  <si>
    <t>Dětský domov a Školní jídelna, Pyšely, Senohrabská 112</t>
  </si>
  <si>
    <t>Rekonstrukce DD a ŠJ</t>
  </si>
  <si>
    <t>0004937</t>
  </si>
  <si>
    <t>Základní umělecká škola Josefa Slavíka, Hořovice, Palackého náměstí 253</t>
  </si>
  <si>
    <t>Výstavba a rekonstrukce sociálního zařízení v budově ZUŠ</t>
  </si>
  <si>
    <t>0004960</t>
  </si>
  <si>
    <t>Základní škola, Mateřská škola a Praktická škola Kolín, příspěvková organizace</t>
  </si>
  <si>
    <t>Bezbarierový přístup do školní jídelny</t>
  </si>
  <si>
    <t>0004961</t>
  </si>
  <si>
    <t>Gymnázium Františka Palackého, Neratovice, Masarykova 450</t>
  </si>
  <si>
    <t>PD - půdní vestavba a nástavba</t>
  </si>
  <si>
    <t>0004962</t>
  </si>
  <si>
    <t>Střední škola oděvního a grafického designu, Lysá nad Labem, Stržiště 475</t>
  </si>
  <si>
    <t>Sociální zařízení v budově školy (č.p. 475)</t>
  </si>
  <si>
    <t>Střední odborné učiliště, Sedlčany, Petra Bezruče 364</t>
  </si>
  <si>
    <t>Plynofikace budovy školy 1. etapa</t>
  </si>
  <si>
    <t>0004969</t>
  </si>
  <si>
    <t>Rekonstrukce školního zařízení</t>
  </si>
  <si>
    <t>0005176</t>
  </si>
  <si>
    <t>058-19/2018/RK ze dne 4.6.2018       035-14/2018/ZK ze dne 25.6.2018</t>
  </si>
  <si>
    <t xml:space="preserve">Střední odborné učiliště, Nové Strašecí, Sportovní 1135 </t>
  </si>
  <si>
    <t>Oprava a zateplení fasády školy</t>
  </si>
  <si>
    <t>0005150</t>
  </si>
  <si>
    <t xml:space="preserve">Obchodní akademie, Vlašim, V Sadě 1565 </t>
  </si>
  <si>
    <t>Zateplení objektu</t>
  </si>
  <si>
    <t>Střední odborné učiliště, Hluboš 178</t>
  </si>
  <si>
    <t>Střední odborná škola a Střední odborné učiliště, Vlašim, Zámek 1</t>
  </si>
  <si>
    <t>BEZ VZ</t>
  </si>
  <si>
    <t xml:space="preserve">Střední průmyslová škola, Vlašim, Komenského 41 </t>
  </si>
  <si>
    <t xml:space="preserve">Olepovačka hran </t>
  </si>
  <si>
    <t xml:space="preserve">Workoutové streetové hřiště </t>
  </si>
  <si>
    <t>Fotbalová miniaréna – tělesná výchova a sport</t>
  </si>
  <si>
    <t xml:space="preserve">Dětský domov a Školní jídelna, Pyšely, Senohrabská 112  </t>
  </si>
  <si>
    <t xml:space="preserve">Osobní automobil 9 míst </t>
  </si>
  <si>
    <t xml:space="preserve">Dům dětí a mládeže „Na Výstavišti“, Mladá Boleslav, Husova 201  </t>
  </si>
  <si>
    <t>Celková obnova chatek a klubovny v Bezdědicích</t>
  </si>
  <si>
    <t xml:space="preserve">Střední odborná škola a Střední odborné učiliště, Horky nad Jizerou 35 </t>
  </si>
  <si>
    <t>Work out – sportovní zařízení pro školní zahradu</t>
  </si>
  <si>
    <t xml:space="preserve">Střední škola oděvního a grafického designu, Lysá nad Labem, Stržiště 475 </t>
  </si>
  <si>
    <t>Výtah na domově mládeže</t>
  </si>
  <si>
    <t xml:space="preserve">Střední zdravotnická škola a Vyšší odborná škola zdravotnická, Nymburk, Soudní 20 </t>
  </si>
  <si>
    <t xml:space="preserve">Půdní vestavba učeben </t>
  </si>
  <si>
    <t>Osobní výtah</t>
  </si>
  <si>
    <t>Střední odborná škola a Střední odborné učiliště, Městec Králové, T. G. Masaryka 4</t>
  </si>
  <si>
    <t>Soustruh</t>
  </si>
  <si>
    <t>Střední průmyslová škola a Vyšší odborná škola, Kladno, Jana Palacha 1840</t>
  </si>
  <si>
    <t>Zhotovení Work out hřiště</t>
  </si>
  <si>
    <t>Dětský domov a Školní jídelna, Nové Strašecí, Okružní 647</t>
  </si>
  <si>
    <t>Modernizace a rekonstrukce fyzikálního areálu školy</t>
  </si>
  <si>
    <t>Odkoupení pozemku (vinice Mělník)</t>
  </si>
  <si>
    <t>Střední průmyslová škola, Vlašim, Komenského 41</t>
  </si>
  <si>
    <t>Gymnázium Joachima Barranda, Beroun, Talichova 824</t>
  </si>
  <si>
    <t>Tělocvična pro Gymnázium Joachima Barranda</t>
  </si>
  <si>
    <t>1/2019/KUL</t>
  </si>
  <si>
    <t>0001913</t>
  </si>
  <si>
    <t>Oblastní  muzeum Praha - východ</t>
  </si>
  <si>
    <t>Památník národního útlaku a odboje Panenské Břežany - III. etapa zahrada</t>
  </si>
  <si>
    <t>Galerie Středočeského kraje</t>
  </si>
  <si>
    <t>Rabasova galerie Rakovník</t>
  </si>
  <si>
    <t>5/2019/KUL</t>
  </si>
  <si>
    <t>0003838</t>
  </si>
  <si>
    <t>České muzeum stříbra Kutná Hora</t>
  </si>
  <si>
    <t>Výstavba knihovny Českého muzea stříbra v Kutné Hoře</t>
  </si>
  <si>
    <t>6/2019/KUL</t>
  </si>
  <si>
    <t>0003407</t>
  </si>
  <si>
    <t>Regionální muzeum v Kolíně</t>
  </si>
  <si>
    <t>Zřízení expozic a centrálního depozitáře Regionálního muzea v Kolíně v areálu tvrze v Hradeníně</t>
  </si>
  <si>
    <t>12/2019</t>
  </si>
  <si>
    <t>7/2019/KUL</t>
  </si>
  <si>
    <t>0003840</t>
  </si>
  <si>
    <t>Středočeské muzeum v Roztokách u Prahy</t>
  </si>
  <si>
    <t>Archeologická interaktivní expozice Stopami věků - projektová dokumentace</t>
  </si>
  <si>
    <t>12/2020</t>
  </si>
  <si>
    <t>8/2019/KUL</t>
  </si>
  <si>
    <t>0004013</t>
  </si>
  <si>
    <t>Galerie středočeského kraje</t>
  </si>
  <si>
    <t>Vybudování kongresového centra v budově parkovacího domu</t>
  </si>
  <si>
    <t>10/2019/KUL</t>
  </si>
  <si>
    <t>0004361</t>
  </si>
  <si>
    <t>Oblastní muzeum Praha-východ</t>
  </si>
  <si>
    <t>Vybudování historické koupelny včetně dobového vybavení v PNÚO Panenské Břežany  - I. a II. NP</t>
  </si>
  <si>
    <t>11/2019/KUL</t>
  </si>
  <si>
    <t>0004363</t>
  </si>
  <si>
    <t>Výstavba schodiště z chodby na půdu v Arnoldinovském domě</t>
  </si>
  <si>
    <t>6/2019</t>
  </si>
  <si>
    <t>12/2019/KUL</t>
  </si>
  <si>
    <t>0004357</t>
  </si>
  <si>
    <t>Nákup pozemku v areálu Muzea lidových staveb v Kouřimi</t>
  </si>
  <si>
    <t>13/2019/KUL</t>
  </si>
  <si>
    <t>0004463</t>
  </si>
  <si>
    <t>Památník Karla Čapka ve Staré Huti u Dobříše</t>
  </si>
  <si>
    <t>Výstavba čistírny odpadních vod</t>
  </si>
  <si>
    <t>Muzeum Českého krasu</t>
  </si>
  <si>
    <t>3/2019</t>
  </si>
  <si>
    <t xml:space="preserve">Polabské muzeum </t>
  </si>
  <si>
    <t>Památník A. Dvořáka ve Vysoké u Příbrami</t>
  </si>
  <si>
    <t>19/2019/KUL</t>
  </si>
  <si>
    <t>0005085</t>
  </si>
  <si>
    <t>Sbírkotvorná činnost příspěvkových organizací - rozšiřování sbírek nákupem předmětů</t>
  </si>
  <si>
    <t>20/2019/KUL</t>
  </si>
  <si>
    <t>0005086</t>
  </si>
  <si>
    <t>Polabské muzeum</t>
  </si>
  <si>
    <t>22/2019/KUL</t>
  </si>
  <si>
    <t>0005153</t>
  </si>
  <si>
    <t>Regionální muzeum v Jílovém u Prahy</t>
  </si>
  <si>
    <t>Nákup pozemku v areálu Regionálního muzea v Jílovém u Prahy, p. o.</t>
  </si>
  <si>
    <t>24/2019/KUL</t>
  </si>
  <si>
    <t>0005186</t>
  </si>
  <si>
    <t>Statické zajištění stodoly v areálu Polabského národopisného muzea Přerov nad Labem</t>
  </si>
  <si>
    <t>25/2019/KUL</t>
  </si>
  <si>
    <t>0005187</t>
  </si>
  <si>
    <t>Hornické muzeum Příbram</t>
  </si>
  <si>
    <t>Rozšíření Skanzenu V. Chlumec o objekty z Mokřan a Řikova</t>
  </si>
  <si>
    <t>26/2019/KUL</t>
  </si>
  <si>
    <t>0005455</t>
  </si>
  <si>
    <t xml:space="preserve">Sládečkovo vlastivědné muzeum v Kladně </t>
  </si>
  <si>
    <t>Celková obnova objektu Lampovna v Hornickém skanzenu Mayrau ve Vinařicích</t>
  </si>
  <si>
    <t>27/2019/KUL</t>
  </si>
  <si>
    <t>0005456</t>
  </si>
  <si>
    <t xml:space="preserve">Doplnění nábytkových sestav pro návštěvníky </t>
  </si>
  <si>
    <t>28/2019/KUL</t>
  </si>
  <si>
    <t>0005457</t>
  </si>
  <si>
    <t>České muzeum stříbra</t>
  </si>
  <si>
    <t>Výměna venkovního schodiště u východu z dolu</t>
  </si>
  <si>
    <t>29/2019/KUL</t>
  </si>
  <si>
    <t>0005458</t>
  </si>
  <si>
    <t>Zřízení nové přípojky elektřiny Bratronice</t>
  </si>
  <si>
    <t>30/2019/KUL</t>
  </si>
  <si>
    <t>0005459</t>
  </si>
  <si>
    <t>Muzeum Podblanicka</t>
  </si>
  <si>
    <t xml:space="preserve">Muzeum Podblanicka </t>
  </si>
  <si>
    <t xml:space="preserve">Výstavba nového centrálního muzejního depozitáře Benešov </t>
  </si>
  <si>
    <t>32/2019/KUL</t>
  </si>
  <si>
    <t>0005464</t>
  </si>
  <si>
    <t>33/2019/KUL</t>
  </si>
  <si>
    <t>Rekonstrukce sociálního zařízení a úprava technického zázemí v Památníku Josefa Lady a jeho dcery v Hrusicích</t>
  </si>
  <si>
    <t>35/2019/KUL</t>
  </si>
  <si>
    <t xml:space="preserve">Rekonstrukce pokladny </t>
  </si>
  <si>
    <t>37/2019/KUL</t>
  </si>
  <si>
    <t xml:space="preserve">Výstavba vstupního objektu ve skanzenu Muzea lidových staveb v Kouřimi </t>
  </si>
  <si>
    <t>38/2019/KUL</t>
  </si>
  <si>
    <t>Rekonstrukce budovy a expozic Vlastivědného muzea Nymburk</t>
  </si>
  <si>
    <t>39/2019/KUL</t>
  </si>
  <si>
    <t>Muzeum T. G. M. Rakovník</t>
  </si>
  <si>
    <t>Muzeum Alice G. Masarykové v Lánech - rekonstrukce objektu a modernizace expozice</t>
  </si>
  <si>
    <t>40/2019/KUL</t>
  </si>
  <si>
    <t>41/2019/KUL</t>
  </si>
  <si>
    <t>Rekonstrukce parku Památníku Antonína Dvořáka</t>
  </si>
  <si>
    <t>42/2019/KUL</t>
  </si>
  <si>
    <t>Vybudování nového topení a čističky vody</t>
  </si>
  <si>
    <t>43/2019/KUL</t>
  </si>
  <si>
    <t xml:space="preserve"> Expanzní nádoby na zvýšení tlaku vody</t>
  </si>
  <si>
    <t>44/2019/KUL</t>
  </si>
  <si>
    <t>Modernizace expozice</t>
  </si>
  <si>
    <t>46/2019/KUL</t>
  </si>
  <si>
    <t>Zastřešení venkovního schodiště budovy Konírna</t>
  </si>
  <si>
    <t>47/2019/KUL</t>
  </si>
  <si>
    <t>Modernizace galerijního osvětlení expozice systémem LED v Arnoldinovském domě</t>
  </si>
  <si>
    <t>48/2019/KUL</t>
  </si>
  <si>
    <t>Regionální muzeum v Roztokách u Prahy</t>
  </si>
  <si>
    <t>Prodloužení podchodu Roztoky, společná investice SŽDC z roztockého nádraží do zámku</t>
  </si>
  <si>
    <t>1/2019/ZDR</t>
  </si>
  <si>
    <t>0001503</t>
  </si>
  <si>
    <t>ON Ml. Boleslav, a.s., nem. SČK</t>
  </si>
  <si>
    <t>Generel ON Mladá Boleslav, a.s., nemocnice Středočeského kraje - pavilon 7 (interna), pavilon 37 (parkoviště)</t>
  </si>
  <si>
    <t>2/2019/ZDR</t>
  </si>
  <si>
    <t>0002170</t>
  </si>
  <si>
    <t>ON Kladno, a.s., nem. SČK</t>
  </si>
  <si>
    <t>Generel nemocnice Kladno - Rekonstrukce bloku C2</t>
  </si>
  <si>
    <t>4/2019/ZDR</t>
  </si>
  <si>
    <t>0001500</t>
  </si>
  <si>
    <t xml:space="preserve">025-12/2015/RK ze dne 7.4.2015               007-16/2015/ZK ze dne 27.4.2015  </t>
  </si>
  <si>
    <t>ON Kolín, a.s., nem. SČK</t>
  </si>
  <si>
    <t>Pořízení zdravotnické technologie pro Pavilon "N" - neproplacené dotace ROP</t>
  </si>
  <si>
    <t>5/2019/ZDR</t>
  </si>
  <si>
    <t>0003347</t>
  </si>
  <si>
    <t xml:space="preserve">025-12/2015/RK ze dne 7.4.2015               007-16/2015/ZK ze dne 27.4.2015     </t>
  </si>
  <si>
    <t>Konvektomat</t>
  </si>
  <si>
    <t>9/2019/ZDR</t>
  </si>
  <si>
    <t>0003392</t>
  </si>
  <si>
    <t>10/2019/ZDR</t>
  </si>
  <si>
    <t>0002923</t>
  </si>
  <si>
    <t>Dětské centrum Strančice</t>
  </si>
  <si>
    <t>Rekonstrukce dětského centra Chocerady</t>
  </si>
  <si>
    <t>12/2019/ZDR</t>
  </si>
  <si>
    <t>0004205</t>
  </si>
  <si>
    <t>Obnova zdravotnické techniky v havarijním stavu</t>
  </si>
  <si>
    <t>14/2019/ZDR</t>
  </si>
  <si>
    <t>0004306</t>
  </si>
  <si>
    <t>Obnova vozového parku sanitních vozidel</t>
  </si>
  <si>
    <t>17/2019/ZDR</t>
  </si>
  <si>
    <t>0004310</t>
  </si>
  <si>
    <t>ON Příbram, a.s.</t>
  </si>
  <si>
    <t>Dokončení rekonstrukce křídla D4 monobloku - ambulance a zákrokové sály</t>
  </si>
  <si>
    <t>19/2019/ZDR</t>
  </si>
  <si>
    <t>0004441</t>
  </si>
  <si>
    <t>Rekonstrukce v hlavním pavilonu Nemocnice Kutná Hora</t>
  </si>
  <si>
    <t>20/2019/ZDR</t>
  </si>
  <si>
    <t>0004410</t>
  </si>
  <si>
    <t>Rekonstrukce pavilónu Patologie</t>
  </si>
  <si>
    <t>21/2019/ZDR</t>
  </si>
  <si>
    <t>Rekonstrukce porodního oddělení a lůžkového oddělení intermediální a pooperační péče</t>
  </si>
  <si>
    <t>Nem. Rudolfa a Stefanie Benešov, a. s., nem. SČK</t>
  </si>
  <si>
    <t>26/2019/ZDR</t>
  </si>
  <si>
    <t>Obnova a modernizace zdravotnické technologie</t>
  </si>
  <si>
    <t>28/2019/ZDR</t>
  </si>
  <si>
    <t>Záložní zdroje - obnova a doplnění</t>
  </si>
  <si>
    <t>29/2019/ZDR</t>
  </si>
  <si>
    <t>Projekty modernizace IT - dofinancování</t>
  </si>
  <si>
    <t>39/2019/ZDR</t>
  </si>
  <si>
    <t>Modernizace protialkoholní a protitoxikomanické záchytné služby</t>
  </si>
  <si>
    <t>42/2019/ZDR</t>
  </si>
  <si>
    <t xml:space="preserve">Rekonstrukce interního pavilonu </t>
  </si>
  <si>
    <t>1/2019/REG</t>
  </si>
  <si>
    <t>0002348</t>
  </si>
  <si>
    <t>Železniční zastávky v Hostivici, Chýni, Rudné a Jinočanech - neželezniční části</t>
  </si>
  <si>
    <t>2/2019/REG</t>
  </si>
  <si>
    <t>0004671</t>
  </si>
  <si>
    <t>Středočeská centrála cestovního ruchu</t>
  </si>
  <si>
    <t>Investiční výdaje Středočeské centrály cestovního ruchu</t>
  </si>
  <si>
    <t>3/2019/REG</t>
  </si>
  <si>
    <t>0005044</t>
  </si>
  <si>
    <t>Cykloaplikace Středočeského kraje - licence, grafické úpravy</t>
  </si>
  <si>
    <t>1/2019/ŘDP</t>
  </si>
  <si>
    <t>0003821</t>
  </si>
  <si>
    <t>RDK</t>
  </si>
  <si>
    <t>Pořízení HW a SW vybavení pro zajištění činnosti Regionální dotační kanceláře, příspěvková organizace</t>
  </si>
  <si>
    <t>0004312</t>
  </si>
  <si>
    <t>Zajištění zabezpečenosti dodávky vody pro území Středočeského kraje v rámci Pražské metropolitní oblasti</t>
  </si>
  <si>
    <t>2/2019/SOC</t>
  </si>
  <si>
    <t>0004265</t>
  </si>
  <si>
    <t>Domov Rožďalovice</t>
  </si>
  <si>
    <t>Rekonstrukce centrálních koupelen - Zámek i Klášter</t>
  </si>
  <si>
    <t>Domov Sedlčany</t>
  </si>
  <si>
    <t>4/2019/SOC</t>
  </si>
  <si>
    <t>0004267</t>
  </si>
  <si>
    <t>Domov seniorů Vidim</t>
  </si>
  <si>
    <t>Rekonstrukce el. rozvodů, topení, vody a vnitřních odpadů</t>
  </si>
  <si>
    <t>5/2019/SOC</t>
  </si>
  <si>
    <t>0004269</t>
  </si>
  <si>
    <t>Rekonstrukce 5 bytů určených k nájmu</t>
  </si>
  <si>
    <t>Domov seniorů Benešov</t>
  </si>
  <si>
    <t>12/2019/SOC</t>
  </si>
  <si>
    <t>0004634</t>
  </si>
  <si>
    <t xml:space="preserve">Rekonstrukce budovy č.2 </t>
  </si>
  <si>
    <t>17/2019/SOC</t>
  </si>
  <si>
    <t>0004641</t>
  </si>
  <si>
    <t>Zahrada Kladno</t>
  </si>
  <si>
    <t>Zabezpečení objektu šachtice na rampě</t>
  </si>
  <si>
    <t>18/2019/SOC</t>
  </si>
  <si>
    <t>0004643</t>
  </si>
  <si>
    <t>Pračka</t>
  </si>
  <si>
    <t>19/2019/SOC</t>
  </si>
  <si>
    <t>0004644</t>
  </si>
  <si>
    <t>Sušička</t>
  </si>
  <si>
    <t>21/2019/SOC</t>
  </si>
  <si>
    <t>0004646</t>
  </si>
  <si>
    <t>Domov Hostomice - Zátor</t>
  </si>
  <si>
    <t xml:space="preserve">Vyasfaltování cesty v parku </t>
  </si>
  <si>
    <t>23/2019/SOC</t>
  </si>
  <si>
    <t>0004649</t>
  </si>
  <si>
    <t>25/2019/SOC</t>
  </si>
  <si>
    <t>0004658</t>
  </si>
  <si>
    <t>26/2019/SOC</t>
  </si>
  <si>
    <t>0004660</t>
  </si>
  <si>
    <t>Domov seniorů Úvaly</t>
  </si>
  <si>
    <t>Výměna osobního výtahu</t>
  </si>
  <si>
    <t>27/2019/SOC</t>
  </si>
  <si>
    <t>0004661</t>
  </si>
  <si>
    <t>Domov Velvary</t>
  </si>
  <si>
    <t>Rekonstrukce příjezdové cesty</t>
  </si>
  <si>
    <t>ZSI Kladno</t>
  </si>
  <si>
    <t>31/2019/SOC</t>
  </si>
  <si>
    <t>Rekonstrukce střechy DOZP</t>
  </si>
  <si>
    <t>35/2019/SOC</t>
  </si>
  <si>
    <t>Rekonstrukce balkonů a zábradlí</t>
  </si>
  <si>
    <t>36/2019/SOC</t>
  </si>
  <si>
    <t>0004662</t>
  </si>
  <si>
    <t>Výstavba nového plotu</t>
  </si>
  <si>
    <t>38/2019/SOC</t>
  </si>
  <si>
    <t>Rekonstrukce střechy týdenního stacionáře vč. krovů</t>
  </si>
  <si>
    <t>Domov seniorů Dobříš</t>
  </si>
  <si>
    <t>43/2019/SOC</t>
  </si>
  <si>
    <t>Luxor Poděbrady</t>
  </si>
  <si>
    <t>44/2019/SOC</t>
  </si>
  <si>
    <t>Výměna vnitřních zárubní a dveří</t>
  </si>
  <si>
    <t>45/2019/SOC</t>
  </si>
  <si>
    <t xml:space="preserve">Investiční příspěvek pro Domov seniorů Benešov na vybudování trafostanice </t>
  </si>
  <si>
    <t>46/2019/SOC</t>
  </si>
  <si>
    <t>47/2019/SOC</t>
  </si>
  <si>
    <t>Myčka nádobí</t>
  </si>
  <si>
    <t>Domov seniorů Uhlířské Janovice</t>
  </si>
  <si>
    <t>49/2019/SOC</t>
  </si>
  <si>
    <t>Stavební úpravy pro SAS</t>
  </si>
  <si>
    <t>55/2019/SOC</t>
  </si>
  <si>
    <t>Nalžovický zámek</t>
  </si>
  <si>
    <t>Centrum Rožmitál pod Třemšínem</t>
  </si>
  <si>
    <t>59/2019/SOC</t>
  </si>
  <si>
    <t>Domov seniorů Nové Strašecí</t>
  </si>
  <si>
    <t>66/2019/SOC</t>
  </si>
  <si>
    <t>Domov Slaný</t>
  </si>
  <si>
    <t>Stavební úpravy objektu Žižice</t>
  </si>
  <si>
    <t>1/2019/OBŘ</t>
  </si>
  <si>
    <t>0004724</t>
  </si>
  <si>
    <t>Projekt zvyšování bezpečnosti KÚSK</t>
  </si>
  <si>
    <t>dílčí plnění jednotlivých akcí</t>
  </si>
  <si>
    <t>Kapitálové prostředky celkem</t>
  </si>
  <si>
    <t>Legenda:</t>
  </si>
  <si>
    <t xml:space="preserve"> </t>
  </si>
  <si>
    <t>akce nově zařazené</t>
  </si>
  <si>
    <t>červené písmo</t>
  </si>
  <si>
    <t>modré písmo</t>
  </si>
  <si>
    <t>snížení celkových nákladů na akci</t>
  </si>
  <si>
    <t>akce zrušené, ukončené</t>
  </si>
  <si>
    <t>sloučené,rozdělené, přejmenované akce, změna způsobu financování</t>
  </si>
  <si>
    <t>Prostředky celkem</t>
  </si>
  <si>
    <t>Použití na plánované akce</t>
  </si>
  <si>
    <t>CELKEM</t>
  </si>
  <si>
    <t>Střední průmyslová škola strojírenská a Jazyková škola s právem státní jazykové zkoušky, Kolín IV, Heverova 191</t>
  </si>
  <si>
    <t>Střední odborné učiliště stavební, Benešov, Jana Nohy 1302</t>
  </si>
  <si>
    <t>Gymnázium Jiřího Ortena, Kutná Hora, Jaselská 932</t>
  </si>
  <si>
    <t>Výměna oken</t>
  </si>
  <si>
    <t>Domov Kladno - Švermov</t>
  </si>
  <si>
    <t>Čerpáno k 31.12. 2018</t>
  </si>
  <si>
    <t>11/2019</t>
  </si>
  <si>
    <t>9/2019</t>
  </si>
  <si>
    <t>4/2019</t>
  </si>
  <si>
    <t>0005293</t>
  </si>
  <si>
    <t>0005294</t>
  </si>
  <si>
    <t>0005295</t>
  </si>
  <si>
    <t>0005296</t>
  </si>
  <si>
    <t>0005244</t>
  </si>
  <si>
    <t>0005245</t>
  </si>
  <si>
    <t>0005246</t>
  </si>
  <si>
    <t>0005247</t>
  </si>
  <si>
    <t>0005248</t>
  </si>
  <si>
    <t>0005249</t>
  </si>
  <si>
    <t>0005251</t>
  </si>
  <si>
    <t>0005252</t>
  </si>
  <si>
    <t>0005297</t>
  </si>
  <si>
    <t>Gymnázium, Benešov, Husova 470</t>
  </si>
  <si>
    <t>Rekonstrukce laboratoře chemie</t>
  </si>
  <si>
    <t xml:space="preserve">Přívěs na přepravu 2 koní </t>
  </si>
  <si>
    <t>Kombajn</t>
  </si>
  <si>
    <t>Připojení kanalizační přípojky na veřejnou kanalizační síť, Luční 1699</t>
  </si>
  <si>
    <t>Univerzální soustruh</t>
  </si>
  <si>
    <t>Univerzální frézka</t>
  </si>
  <si>
    <t>Rekonstrukce vjezdu, Velíšská</t>
  </si>
  <si>
    <t>Rekonstrukce sociálního zařízení a šaten, Velíšská</t>
  </si>
  <si>
    <t xml:space="preserve">Elektrospotřebiče ŠJ </t>
  </si>
  <si>
    <t>Dodávkový automobil pro OV (7 míst + náklad)</t>
  </si>
  <si>
    <t>Gymnázium, Vlašim, Tylova 271</t>
  </si>
  <si>
    <t>Integrovaná střední škola technická, Benešov, Černoleská 1997</t>
  </si>
  <si>
    <t>Pořízení CNC pracoviště</t>
  </si>
  <si>
    <t>Dětský domov, Unhošť, Berounská 1292</t>
  </si>
  <si>
    <t>Samostatný vjezd a příjezdová cesta</t>
  </si>
  <si>
    <t>Labyrint-středisko volného času, vzdělávání a služeb, Kladno, Arbesova 1187</t>
  </si>
  <si>
    <t>Montáž nového výtahu (bezbariérový přístup)</t>
  </si>
  <si>
    <t>Střední odborná škola a Střední odborné učiliště, Kladno, Dubská</t>
  </si>
  <si>
    <t>Rekonstrukce kuchyně a jídelny DM</t>
  </si>
  <si>
    <t>Sportovní gymnázium, Kladno, Plzeňská 3103</t>
  </si>
  <si>
    <t>Fasáda budovy včetně zateplení</t>
  </si>
  <si>
    <t>Rekonstrukce elektroinstalace budovy školy</t>
  </si>
  <si>
    <t>Střední odborná škola informatiky a spojů a Střední odborné učiliště, Kolín, Jaselská 826</t>
  </si>
  <si>
    <t>Rekonstrukce palubovky ve sportovní hale</t>
  </si>
  <si>
    <t>Vybavení školní zahrady pro relaxaci žáků se zdravotním postižením</t>
  </si>
  <si>
    <t>Střední škola obchodní, Kolín IV, Havlíčkova 42</t>
  </si>
  <si>
    <t>Rekonstrukce vytápění objektu tělocvičny</t>
  </si>
  <si>
    <t>Výměna tepelného zdroje</t>
  </si>
  <si>
    <t>Gymnázium a Střední odborná škola pedagogická, Čáslav, Masarykova 248</t>
  </si>
  <si>
    <t>Rekonstrukce a přístavba sociálního zařízení</t>
  </si>
  <si>
    <t>Zabezpečení ochrany školy</t>
  </si>
  <si>
    <t>Dvořákovo gymnázium a Střední odborná škola ekonomická, Kralupy nad Vltavou, Dvořákovo náměstí 800</t>
  </si>
  <si>
    <t>Rekonstrukce sportovního areálu</t>
  </si>
  <si>
    <t>Střední průmyslová škola stavební, Mělník, Českobratrská 386</t>
  </si>
  <si>
    <t>Školní rozhlas - evakuační</t>
  </si>
  <si>
    <t>Dětský domov a Školní jídelna, Kralupy nad Vltavou, U Sociálního domu 438</t>
  </si>
  <si>
    <t xml:space="preserve">Přístavba budovy - čajovny </t>
  </si>
  <si>
    <t>Integrovaná střední škola technická, Mělník, K učilišti 2566</t>
  </si>
  <si>
    <t>Rekonstrukce DM</t>
  </si>
  <si>
    <t>Střední odborné učiliště, Liběchov, Boží Voda 230</t>
  </si>
  <si>
    <t>Nákup 9 místného microbusu</t>
  </si>
  <si>
    <t xml:space="preserve">Střední odborné učiliště, Hubálov 17 </t>
  </si>
  <si>
    <t>Odborné učebny pro instalatéry</t>
  </si>
  <si>
    <t>Výměna oken v celé budově</t>
  </si>
  <si>
    <t>Hotelová škola, Vyšší odborná škola hotelnictví a turismu a Jazyková škola s právem státní jazykové zkoušky, Poděbrady, Komenského 156/III</t>
  </si>
  <si>
    <t>Rekonstrukce vzduchotechniky kuchyně a restaurace</t>
  </si>
  <si>
    <t>Střední zemědělská škola a Střední odborná škola Poděbrady, příspěvková organizace</t>
  </si>
  <si>
    <t>Nákup osobního užitkového automobilu (5+2 míst)</t>
  </si>
  <si>
    <t>Rekonstrukce a modernizace sportovního areálu školy</t>
  </si>
  <si>
    <t>Střední odborná škola a Střední odborné učiliště, Nymburk, V Kolonii 1804</t>
  </si>
  <si>
    <t>Oprava a modernizace výtahu v kuchyni</t>
  </si>
  <si>
    <t>Nákup konvektomatu</t>
  </si>
  <si>
    <t>Gymnázium J. S. Machara, Brandýs nad Labem - Stará Boleslav, Královická 668</t>
  </si>
  <si>
    <t>Rekonstrukce a modernizace chemického areálu školy</t>
  </si>
  <si>
    <t xml:space="preserve">Integrovaná střední škola St.Kubra, Středokluky   </t>
  </si>
  <si>
    <t>Integrovaná střední škola St. Kubra, Středokluky</t>
  </si>
  <si>
    <t>Nákup 9 místného automobilu pro OV</t>
  </si>
  <si>
    <t>Gymnázium a Střední odborná škola ekonomická, Sedlčany, Nádražní 90</t>
  </si>
  <si>
    <t xml:space="preserve">Zateplení budovy školy a střechy </t>
  </si>
  <si>
    <t>Vyšší odborná škola a Střední odborná škola, Březnice, Rožmitálská 340</t>
  </si>
  <si>
    <t>Rekonstrukce křídla DM včetně vybavení</t>
  </si>
  <si>
    <t>Odborné učiliště, Praktická škola, Základní škola a Mateřská škola Příbram IV, příspěvková organizace</t>
  </si>
  <si>
    <t>Výměna el. rozvodů - dílny</t>
  </si>
  <si>
    <t>Výměna podlahy v tělocvičně</t>
  </si>
  <si>
    <t>Integrovaná střední škola hotelového provozu, obchodu a služeb, Příbram, Gen. R. Tesaříka 114</t>
  </si>
  <si>
    <t>Nový samostatný přístup do školy</t>
  </si>
  <si>
    <t>PD - snížení energetické náročnosti budov teorie a tělocvičny</t>
  </si>
  <si>
    <t>Masarykova obchodní akademie, Rakovník, Pražská  1222</t>
  </si>
  <si>
    <t>Výměna plynových kotlů včetně doplňkové technologie</t>
  </si>
  <si>
    <t>Zateplení objektů</t>
  </si>
  <si>
    <t>1/2019</t>
  </si>
  <si>
    <t>8/2019</t>
  </si>
  <si>
    <t>Příprava a zabezpečení záchytných parkovišť</t>
  </si>
  <si>
    <t>II/605 Chrášťany, úprava kruhové křižovatky</t>
  </si>
  <si>
    <t>III/1042 Zahořany, bezpečnostní opatření na silnici</t>
  </si>
  <si>
    <t>II/117 Komárov, opěrná zeď</t>
  </si>
  <si>
    <t>III/33838 Paběnice, zajištění stability tělesa vozovky</t>
  </si>
  <si>
    <t>III/3353 Hrusice most ev.3353-2</t>
  </si>
  <si>
    <t>II/101 a III/0096 Neratovice, úprava křižovatky</t>
  </si>
  <si>
    <t>III/1118 Vojslavice, rekonstrukce propustku</t>
  </si>
  <si>
    <t>II/107 Kamenice</t>
  </si>
  <si>
    <t>III/3394 Petrovice, most ev.č. 3394-1</t>
  </si>
  <si>
    <t>11817-3 Luhy</t>
  </si>
  <si>
    <t>III/33420 Molitorov, most ev.č. 33420-1</t>
  </si>
  <si>
    <t>0107-1 Most u obce Radonice</t>
  </si>
  <si>
    <t>III/27922, most ev.č. 27922-2, Most přes řeku Jizeru před Loukovem</t>
  </si>
  <si>
    <t>III/33353 Přítoky, most ev.č. 33353-1</t>
  </si>
  <si>
    <t>navýšení celkových nákladů na akci</t>
  </si>
  <si>
    <t>0005478</t>
  </si>
  <si>
    <t>0005477</t>
  </si>
  <si>
    <t>0005479</t>
  </si>
  <si>
    <t>0005388</t>
  </si>
  <si>
    <t>Výměna balkonových dveří a žaluzií</t>
  </si>
  <si>
    <t>0005387</t>
  </si>
  <si>
    <t>0005471</t>
  </si>
  <si>
    <t>0004891</t>
  </si>
  <si>
    <t>0005472</t>
  </si>
  <si>
    <t>0005473</t>
  </si>
  <si>
    <t>0005474</t>
  </si>
  <si>
    <t>0005475</t>
  </si>
  <si>
    <t>0005476</t>
  </si>
  <si>
    <t>Elektronická požární signalizace a PBŘ nemovitostí</t>
  </si>
  <si>
    <t>Rekonstrukce terasy ve zvýšeném přízemí</t>
  </si>
  <si>
    <t>Rekonstrukce terasy 1. patro</t>
  </si>
  <si>
    <t>Rekonstrukce prádelny</t>
  </si>
  <si>
    <t>Náhradní zdroj - nákup agregátu</t>
  </si>
  <si>
    <t>Rekonstrukce rozvodů vody včetně koupelen v objektu Kláštera Rožďalovice</t>
  </si>
  <si>
    <t>Rekonstrukce  pokojů II. Etapa 21 pokojů</t>
  </si>
  <si>
    <t>Vybudování zimní zahrady</t>
  </si>
  <si>
    <t>Rekonstrukce kuchyně vč. vybavení a VZT</t>
  </si>
  <si>
    <t>Rekonstrukce VZT kuchyně a 2. etapa VZT + rekuper. jedn. vč PD</t>
  </si>
  <si>
    <t>Rekonstrukce signalizace sestra - pacient</t>
  </si>
  <si>
    <t>Nákup nem. pro chr. bydlení v Ml. Bol.</t>
  </si>
  <si>
    <t>Lapol - kuchyně</t>
  </si>
  <si>
    <t>Pořízení výtahu a vybudování bezbarierového přístupu</t>
  </si>
  <si>
    <t xml:space="preserve">Dodávka automobilů </t>
  </si>
  <si>
    <t>Vybudování relaxační zahrady vč. PD</t>
  </si>
  <si>
    <t>Vybudování komunikačního systému sestra-klient a EPS</t>
  </si>
  <si>
    <t>Domov Vraný</t>
  </si>
  <si>
    <t>Rekonstrukce okapů, svodů, části krovu a části fasády</t>
  </si>
  <si>
    <t>Nákup osobního automobilu</t>
  </si>
  <si>
    <t>Rekonstrukce střechy Gen. Eliáše 483, Kladno</t>
  </si>
  <si>
    <t>Park generací</t>
  </si>
  <si>
    <t>Jiné zdroje = neinvestiční prostředky z rozpočtu kraje</t>
  </si>
  <si>
    <t>Rekonstrukce vnitřní počítačové sítě (intranetu)</t>
  </si>
  <si>
    <t>Oprava sociálního zařízení včetně bezbariérového WC</t>
  </si>
  <si>
    <t>9 místný automobil pro přepravu osob a nákladu</t>
  </si>
  <si>
    <t>88/2019/DOP</t>
  </si>
  <si>
    <t>89/2019/DOP</t>
  </si>
  <si>
    <t>90/2019/DOP</t>
  </si>
  <si>
    <t>91/2019/DOP</t>
  </si>
  <si>
    <t>92/2019/DOP</t>
  </si>
  <si>
    <t>93/2019/DOP</t>
  </si>
  <si>
    <t>94/2019/DOP</t>
  </si>
  <si>
    <t>96/2019/DOP</t>
  </si>
  <si>
    <t>97/2019/DOP</t>
  </si>
  <si>
    <t>99/2019/DOP</t>
  </si>
  <si>
    <t>100/2019/DOP</t>
  </si>
  <si>
    <t>101/2019/DOP</t>
  </si>
  <si>
    <t>102/2019/DOP</t>
  </si>
  <si>
    <t>103/2019/DOP</t>
  </si>
  <si>
    <t>104/2019/DOP</t>
  </si>
  <si>
    <t>105/2019/DOP</t>
  </si>
  <si>
    <t>6/2020</t>
  </si>
  <si>
    <t>0005483</t>
  </si>
  <si>
    <t>68/2019/SOC</t>
  </si>
  <si>
    <t>69/2019/SOC</t>
  </si>
  <si>
    <t>70/2019/SOC</t>
  </si>
  <si>
    <t>74/2019/SOC</t>
  </si>
  <si>
    <t>75/2019/SOC</t>
  </si>
  <si>
    <t>76/2019/SOC</t>
  </si>
  <si>
    <t>77/2019/SOC</t>
  </si>
  <si>
    <t>81/2019/SOC</t>
  </si>
  <si>
    <t>82/2019/SOC</t>
  </si>
  <si>
    <t>83/2019/SOC</t>
  </si>
  <si>
    <t>84/2019/SOC</t>
  </si>
  <si>
    <t>85/2019/SOC</t>
  </si>
  <si>
    <t>86/2019/SOC</t>
  </si>
  <si>
    <t>87/2019/SOC</t>
  </si>
  <si>
    <t>89/2019/SOC</t>
  </si>
  <si>
    <t>90/2019/SOC</t>
  </si>
  <si>
    <t>91/2019/SOC</t>
  </si>
  <si>
    <t>92/2019/SOC</t>
  </si>
  <si>
    <t>93/2019/SOC</t>
  </si>
  <si>
    <t>95/2019/SOC</t>
  </si>
  <si>
    <t>96/2019/SOC</t>
  </si>
  <si>
    <t>97/2019/SOC</t>
  </si>
  <si>
    <t>9/2020</t>
  </si>
  <si>
    <t>7/2019</t>
  </si>
  <si>
    <t>Neurčito</t>
  </si>
  <si>
    <t>0004974</t>
  </si>
  <si>
    <t>0004979</t>
  </si>
  <si>
    <t>0004981</t>
  </si>
  <si>
    <t>0004982</t>
  </si>
  <si>
    <t>0005307</t>
  </si>
  <si>
    <t>0005299</t>
  </si>
  <si>
    <t>67/2019/ZDR</t>
  </si>
  <si>
    <t>Komplexní rehabilitační centrum</t>
  </si>
  <si>
    <t>Rekonstrukce odstavných ploch a komunikací</t>
  </si>
  <si>
    <t>98/2019/ZDR</t>
  </si>
  <si>
    <t>Zdravotnická technologie pro Gynekologické oddělení</t>
  </si>
  <si>
    <t>126/2019/ZDR</t>
  </si>
  <si>
    <t>0004701</t>
  </si>
  <si>
    <t>0005318</t>
  </si>
  <si>
    <t>0004820</t>
  </si>
  <si>
    <t>0004821</t>
  </si>
  <si>
    <t>0004824</t>
  </si>
  <si>
    <t>0004825</t>
  </si>
  <si>
    <t>5/2019</t>
  </si>
  <si>
    <t>49/2019/KUL</t>
  </si>
  <si>
    <t>Revitalizace expozic Městského muzea Žebrák, pobočky MČK</t>
  </si>
  <si>
    <t>Obnova a modernizace zdravotnické technologie 2019</t>
  </si>
  <si>
    <t>písmo škrtnuto + poznámka</t>
  </si>
  <si>
    <t>Aktuální stav (Příprava VZ, Probíhá VZ, Realizace, Ukončeno,  Zrušeno)</t>
  </si>
  <si>
    <t>zeleně podbarveno + poznámka</t>
  </si>
  <si>
    <t>oranžově podbarveno</t>
  </si>
  <si>
    <t xml:space="preserve">Speciální vozidlo pro potřeby dopravní policie </t>
  </si>
  <si>
    <t>x</t>
  </si>
  <si>
    <t>0005319</t>
  </si>
  <si>
    <t>0005482</t>
  </si>
  <si>
    <t>0001783</t>
  </si>
  <si>
    <t>0005437</t>
  </si>
  <si>
    <t>0005448</t>
  </si>
  <si>
    <t>0005438</t>
  </si>
  <si>
    <t>0005439</t>
  </si>
  <si>
    <t>0005445</t>
  </si>
  <si>
    <t>0005446</t>
  </si>
  <si>
    <t>0005436</t>
  </si>
  <si>
    <t>0005434</t>
  </si>
  <si>
    <t>0005435</t>
  </si>
  <si>
    <t>0005442</t>
  </si>
  <si>
    <t>0005433</t>
  </si>
  <si>
    <t>průběžně</t>
  </si>
  <si>
    <t>Startovací byty</t>
  </si>
  <si>
    <t>Rozvoj Rabasovy galerie Rakovník, stavební úpravy a dostavba</t>
  </si>
  <si>
    <t>*</t>
  </si>
  <si>
    <t>045-24/2018/RK ze dne 6.8.2018
 041-15/2018/ZK ze dne 27.8.2018</t>
  </si>
  <si>
    <t>045-24/2018/RK ze dne 6.8.2018 
041-15/2018/ZK ze dne 27.8.2018</t>
  </si>
  <si>
    <t>Instruktážní a nácviková hala - ocelokolna včetně projektové dokumentace</t>
  </si>
  <si>
    <t>Smlouva Ano/Ne</t>
  </si>
  <si>
    <t>Realizace fyzicky začala Ano/Ne</t>
  </si>
  <si>
    <t>051-39/2017/RK ze dne 13.11.2017  028-11/2017/ZK ze dne 5.12.2017</t>
  </si>
  <si>
    <t>025-05/2019/RK ze dne 4.2.2019  101-17/2019/ZK ze dne 18.2.2019</t>
  </si>
  <si>
    <t>1/2019/INF</t>
  </si>
  <si>
    <t>2/2019/INF</t>
  </si>
  <si>
    <t>3/2019/INF</t>
  </si>
  <si>
    <t>5/2019/INF</t>
  </si>
  <si>
    <t>018-34/2018/RK ze dne 5.11.2018 128-16/2018/ZK ze dne 24.11.2018</t>
  </si>
  <si>
    <t>6/2019/INF</t>
  </si>
  <si>
    <t>8/2019/INF</t>
  </si>
  <si>
    <t>9/2019/INF</t>
  </si>
  <si>
    <t>10/2019/INF</t>
  </si>
  <si>
    <t>0005549</t>
  </si>
  <si>
    <t>11/2019/INF</t>
  </si>
  <si>
    <t>12/2019/INF</t>
  </si>
  <si>
    <t>0005548</t>
  </si>
  <si>
    <t>13/2019/INF</t>
  </si>
  <si>
    <t>14/2019/INF</t>
  </si>
  <si>
    <t>0005545</t>
  </si>
  <si>
    <t>15/2019/INF</t>
  </si>
  <si>
    <t>0005546</t>
  </si>
  <si>
    <t>16/2019/INF</t>
  </si>
  <si>
    <t>0005547</t>
  </si>
  <si>
    <t>17/2019/INF</t>
  </si>
  <si>
    <t>0005553</t>
  </si>
  <si>
    <t>Rozšíření IS FaMA+ pro příspěvkové organizace kraje</t>
  </si>
  <si>
    <t>Rozšíření stávajícího a v loňském roce upgradovaného informačního systému na příspěvkové organizace kraje. Využití pro evidenci nemovitého majetku.</t>
  </si>
  <si>
    <t>Průběžně</t>
  </si>
  <si>
    <t>097-15/2017/RK ze dne 27. 4.2017  040-23/2017/RK ze dne 15.6.2017   038-07/2017/ZK ze dne 27.6.2017</t>
  </si>
  <si>
    <t>NE</t>
  </si>
  <si>
    <t>ANO</t>
  </si>
  <si>
    <t>069-42/2017/RK ze dne 4.12.2017 015-12/2018/ZK ze dne 29.1.2018</t>
  </si>
  <si>
    <t>076-04/2018/RK ze dne 5.2.2018  033-13/2018/ZK ze dne 26.4.2018</t>
  </si>
  <si>
    <t>0005512</t>
  </si>
  <si>
    <t>0005511</t>
  </si>
  <si>
    <t>0005501</t>
  </si>
  <si>
    <t>0005507</t>
  </si>
  <si>
    <t>ZRUŠENO</t>
  </si>
  <si>
    <t>0005508</t>
  </si>
  <si>
    <t>0005510</t>
  </si>
  <si>
    <t>106/2019/DOP</t>
  </si>
  <si>
    <t>Přenosné osobní pokladny</t>
  </si>
  <si>
    <t>Galerie Středočeského kraje, Kutná Hora</t>
  </si>
  <si>
    <t>Muzeum Českého krasu, Beroun</t>
  </si>
  <si>
    <t>041-02/2018/RK ze dne 15.1.2018  015-12/2018/ZK ze dne 29.1.2018  114-12/2018/ZK ze dne 29.1.2018</t>
  </si>
  <si>
    <t>Koupě zámku v Přerově nad Labem (splátky hodnoty nemovitosti jsou naplánovány na 5 let)</t>
  </si>
  <si>
    <t>7/2020</t>
  </si>
  <si>
    <t>České muzeum stříbra, Kutná Hora</t>
  </si>
  <si>
    <t>Výstavba nového centrálního muzejního depozitáře pro RM Kolín v Kouřimi</t>
  </si>
  <si>
    <t>0005556</t>
  </si>
  <si>
    <t>0005558</t>
  </si>
  <si>
    <t>0005560</t>
  </si>
  <si>
    <t>0005561</t>
  </si>
  <si>
    <t>0005562</t>
  </si>
  <si>
    <t>0005563</t>
  </si>
  <si>
    <t>2/2020</t>
  </si>
  <si>
    <t>0005564</t>
  </si>
  <si>
    <t>0005565</t>
  </si>
  <si>
    <t>0005566</t>
  </si>
  <si>
    <t>0005567</t>
  </si>
  <si>
    <t>5/2020</t>
  </si>
  <si>
    <t>0005569</t>
  </si>
  <si>
    <t>0005570</t>
  </si>
  <si>
    <t>0005571</t>
  </si>
  <si>
    <t>0005540</t>
  </si>
  <si>
    <t>50/2019/KUL</t>
  </si>
  <si>
    <t>Přípravné práce a převoz Thomasova konvertoru do skanzenu Mayrau</t>
  </si>
  <si>
    <t>UKONČENO</t>
  </si>
  <si>
    <t>Havarijní opravy elektroinstalace, rozvodu vody a odpadů v DOZP-studie proveditelnosti</t>
  </si>
  <si>
    <t>studie proveditelnosti hotová</t>
  </si>
  <si>
    <t>98/2019/SOC</t>
  </si>
  <si>
    <t>Pořízení EPS</t>
  </si>
  <si>
    <t>99/2019/SOC</t>
  </si>
  <si>
    <t>Hřiště pro seniory</t>
  </si>
  <si>
    <t>100/2019/SOC</t>
  </si>
  <si>
    <t>Rekonstrukce střechy - Ledce bytový dům</t>
  </si>
  <si>
    <t>101/2019/SOC</t>
  </si>
  <si>
    <t xml:space="preserve">Vybavení kuchyně konvektomat,lednice,sporák a dodávka klimatizace </t>
  </si>
  <si>
    <t>102/2019/SOC</t>
  </si>
  <si>
    <t>103/2019/SOC</t>
  </si>
  <si>
    <t>104/2019/SOC</t>
  </si>
  <si>
    <t>8/2020</t>
  </si>
  <si>
    <t>10/2020</t>
  </si>
  <si>
    <t>až budou finanční prostředky</t>
  </si>
  <si>
    <t>1/2020</t>
  </si>
  <si>
    <t>018-34/2018/RK ze dne 5.11.2018 128-16/2018/ZK ze dne 26.11.2018</t>
  </si>
  <si>
    <t>0005485</t>
  </si>
  <si>
    <t>Výměna zámků (generální klíč nahradit elektronickým systémem)</t>
  </si>
  <si>
    <t>Základní škola, Vlašim, Březinská 1702</t>
  </si>
  <si>
    <t>Integrovaná střední škola technická Mělník, příspěvková organizace</t>
  </si>
  <si>
    <t>Víceúčelová sportovní hala</t>
  </si>
  <si>
    <t>Zřízení vodorovného dopravního značení, bezpečnostní prvky</t>
  </si>
  <si>
    <t>107/2019/DOP</t>
  </si>
  <si>
    <t>Okružní křižovatka Nymburk</t>
  </si>
  <si>
    <t>Vybudování a zprovoznění paliativní péče, tzv. hospicových lůžek v nemocnici Kutná Hora</t>
  </si>
  <si>
    <t>Rekonstrukce bývalé svobodárny na Centrum pro vzdělávání a péči o zaměstnance ON Kolín, a. s.</t>
  </si>
  <si>
    <t xml:space="preserve"> v tis. Kč</t>
  </si>
  <si>
    <t>odkup nové stavby silnice</t>
  </si>
  <si>
    <t>CELKEM 25 - Odbor Bezpečnostní ředitel</t>
  </si>
  <si>
    <t>CELKEM 17 - Odbor sociálních věcí</t>
  </si>
  <si>
    <t>CELKEM 10 - Odbor životního prostředí a zemědělství</t>
  </si>
  <si>
    <t>CELKEM 09 - Odbor řízení dotačních projektů</t>
  </si>
  <si>
    <t>CELKEM 08 - Odbor regionálního rozvoje</t>
  </si>
  <si>
    <t>CELKEM 07 - Odbor zdravotnictví</t>
  </si>
  <si>
    <t>CELKEM 06 - Odbor kultury a památkové péče</t>
  </si>
  <si>
    <t>CELKEM 05 - Odbor školství</t>
  </si>
  <si>
    <t>CELKEM 04 - Odbor dopravy</t>
  </si>
  <si>
    <t>CELKEM 03 - Odbor informatiky</t>
  </si>
  <si>
    <t>CELKEM 02 - Odbor podpory řízení krajského úřadu</t>
  </si>
  <si>
    <t>CELKEM 01 - Odbor Kancelář hejtmanky</t>
  </si>
  <si>
    <t>Kompletní rekonstrukce elektroinstalace v DS</t>
  </si>
  <si>
    <t>1/2019/OZP</t>
  </si>
  <si>
    <t>2/2019/OZP</t>
  </si>
  <si>
    <t>jiné zdroje=vlastní zdroje PO</t>
  </si>
  <si>
    <t>smlouva na PD, vyhotovuje se PD, jiné zdroje=vlastní zdroje PO</t>
  </si>
  <si>
    <t>smlouva na PD, vyhotovuje se PD</t>
  </si>
  <si>
    <t>výběrové řízení na zhotovitele PD bylo přerušeno</t>
  </si>
  <si>
    <t>hotová PD</t>
  </si>
  <si>
    <t xml:space="preserve">Pozastaveno radním. </t>
  </si>
  <si>
    <t>probíhá Vř na PD,  jiné zdroje=vlastní zdroje PO (IF PO)</t>
  </si>
  <si>
    <t>Jiné zdroje = neinvestiční prostředky, smlouva na PD</t>
  </si>
  <si>
    <t xml:space="preserve"> jiné zdroje=vlastní zdroje PO</t>
  </si>
  <si>
    <t>Předpoklad v roce 2022+</t>
  </si>
  <si>
    <t>022-14/2019/RK ze dne 15.4.2019  108-18/2019/ZK ze dne 29.4.2019</t>
  </si>
  <si>
    <t>0005444</t>
  </si>
  <si>
    <t xml:space="preserve">Přerušeno výběrové řízení </t>
  </si>
  <si>
    <t>4/2020</t>
  </si>
  <si>
    <t>105/2019/SOC</t>
  </si>
  <si>
    <t>Profesionální pračka prádla 13 kg</t>
  </si>
  <si>
    <t>106/2019/SOC</t>
  </si>
  <si>
    <t>Profesionální pračka prádla 24 kg + sušicka</t>
  </si>
  <si>
    <t>107/2019/SOC</t>
  </si>
  <si>
    <t>Rekonstrukce podlah v celém objektu</t>
  </si>
  <si>
    <t>108/2019/SOC</t>
  </si>
  <si>
    <t>Rekonstrukce 6 pokojů ve 2. patře staré budovy</t>
  </si>
  <si>
    <t>109/2019/SOC</t>
  </si>
  <si>
    <t>110/2019/SOC</t>
  </si>
  <si>
    <t>Centrální zařízení na úpravu vody</t>
  </si>
  <si>
    <t>111/2019/SOC</t>
  </si>
  <si>
    <t>Výstavba technické budovy, údržba a prádelna</t>
  </si>
  <si>
    <t>112/2019/SOC</t>
  </si>
  <si>
    <t>Rekonstrukce zařízení sestra pacient</t>
  </si>
  <si>
    <t>113/2019/SOC</t>
  </si>
  <si>
    <t>Rekonstrukce pokojů III. odd. - 21 pokojů</t>
  </si>
  <si>
    <t>114/2019/SOC</t>
  </si>
  <si>
    <t>Rekonstrukce elektroinstalace tech. zázemí domova</t>
  </si>
  <si>
    <t>115/2019/SOC</t>
  </si>
  <si>
    <t>Rekonstrukce vodoinstalace tech. zázemí domova</t>
  </si>
  <si>
    <t>116/2019/SOC</t>
  </si>
  <si>
    <t>Domov seniorů Vojkov</t>
  </si>
  <si>
    <t>117/2019/SOC</t>
  </si>
  <si>
    <t>Nákup plynového kotle</t>
  </si>
  <si>
    <t>118/2019/SOC</t>
  </si>
  <si>
    <t xml:space="preserve">Výměna kabiny lůžkového výtahu budova č. 6 </t>
  </si>
  <si>
    <t>119/2019/SOC</t>
  </si>
  <si>
    <t>120/2019/SOC</t>
  </si>
  <si>
    <t>10/2019/OŘÚ</t>
  </si>
  <si>
    <t>Pořízení osobního vozidla</t>
  </si>
  <si>
    <t>0005577</t>
  </si>
  <si>
    <t>Bellevue Ledce</t>
  </si>
  <si>
    <t>Domov Na Hrádku, Červený Hrádek</t>
  </si>
  <si>
    <t>Rybka Neratovice</t>
  </si>
  <si>
    <t>Domov Buda, Zásmuky</t>
  </si>
  <si>
    <t>Domov Barbora, Kutná Hora</t>
  </si>
  <si>
    <t>Domov Pod Kavčí Skálou, Říčany u Prahy</t>
  </si>
  <si>
    <t>Vyšší Hrádek, Brandýs n.L.</t>
  </si>
  <si>
    <t>Domov seniorů TGM, Beroun</t>
  </si>
  <si>
    <t>Domov Na Zátiší, Rakovník</t>
  </si>
  <si>
    <t>Domov Laguna, Psáry</t>
  </si>
  <si>
    <t>Domov Pod Lipami, Smečno</t>
  </si>
  <si>
    <t>Domov pod lípou, Lipník</t>
  </si>
  <si>
    <t>Domov Domino, Zavidov</t>
  </si>
  <si>
    <t>Domov V Zahradách, Zdice</t>
  </si>
  <si>
    <t>Domov Na Zámku, Lysá</t>
  </si>
  <si>
    <t>0005640</t>
  </si>
  <si>
    <t>51/2019/KUL</t>
  </si>
  <si>
    <t>Výklenková kaplička se sousoším sv. Jana Nepomuckého z Tismic</t>
  </si>
  <si>
    <t>Probíhá příprava dohody o narovnání mezi SČK a SŽDC, Dohoda k posouzení je na SŽDC.</t>
  </si>
  <si>
    <t>3/2020</t>
  </si>
  <si>
    <t>pozastaveno</t>
  </si>
  <si>
    <t>Vybraný účastník byl vyzván k podpisu smlouvy, pozastaveno</t>
  </si>
  <si>
    <t>1/2021</t>
  </si>
  <si>
    <t>1/2022</t>
  </si>
  <si>
    <t>0003960</t>
  </si>
  <si>
    <t>hotová PD - škola si zaplatila z vlastních zdrojů</t>
  </si>
  <si>
    <t>0005621</t>
  </si>
  <si>
    <t>0005622</t>
  </si>
  <si>
    <t>0005641</t>
  </si>
  <si>
    <t>5/2022</t>
  </si>
  <si>
    <t>3/2021</t>
  </si>
  <si>
    <t>Rekonstrukce a modernizace COS</t>
  </si>
  <si>
    <t>135/2019/ZDR</t>
  </si>
  <si>
    <t>136/2019/ZDR</t>
  </si>
  <si>
    <t>Změna užívání části objektu C1A - DIOP a NIP</t>
  </si>
  <si>
    <t xml:space="preserve">Rekonstrukce 4. a 5. NP v objektu gynekologie </t>
  </si>
  <si>
    <t>studie k soutěži na PD hotová</t>
  </si>
  <si>
    <t>044-36/2017/RK ze dne 12.10.2017  009-10/2017/ZK ze dne 24.10.2017</t>
  </si>
  <si>
    <t>040-23/2017/RK ze dne 15.6.2017   038-07/2017/ZK ze dne 27.6.2017</t>
  </si>
  <si>
    <t>018-04/2017/ZK ze dne 7. 3. 2017  040-23/2017/RK ze dne 15.6.2017 038-07/2017/ZK ze dne 27.6.2017</t>
  </si>
  <si>
    <t>051-39/2017/RK ze dne 13.11.2017 028-11/2017/ZK ze dne 5.12.2017</t>
  </si>
  <si>
    <t>054-14/2014/RK ze dne 14.4.2014            013-11/2014/ZK ze dne 28.4.2014</t>
  </si>
  <si>
    <t>026-13/2016/RK ze dne 4.4.2016  012-22 /2016/ZK ze dne 25.4.2016</t>
  </si>
  <si>
    <t>066-10/2012/RK ze dne 12.03.2012   062-21/2012/ZK ze dne 19.03.2012</t>
  </si>
  <si>
    <t>005-12/2010/RK ze dne 29.03.2010  065-10/2010/ZK ze dne 12.04.2010</t>
  </si>
  <si>
    <t>060-26/2017/RK ze dne 20.7.2017  044-36/2017/RK ze dne 12.10.2017  009-10/2017/ZK ze dne 24.10.2017</t>
  </si>
  <si>
    <t>007-09/2017/RK ze dne 9.3.2017  040-23/2017/RK ze dne 15.6.2017   038-07/2017/ZK ze dne 27.6.2017</t>
  </si>
  <si>
    <t>041-02/2018/RK ze dne 15.1.2018  015-12/2018/ZK ze dne 29.1.2018</t>
  </si>
  <si>
    <t>071-29/2016/RK ze dne 29.8.2016       012-24/2016/ZK ze dne 19.9.2016</t>
  </si>
  <si>
    <t>026-13/2016/RK ze dne 4.4.2016    012-22/2016/ZK ze dne 25.4.2016</t>
  </si>
  <si>
    <t>018-14/2017/RK ze dne 13.4.2017 028-06/2017/ZK ze dne 25.4.2017</t>
  </si>
  <si>
    <t>047-11/2017/RK ze dne 23.3.2017  040-23/2017/RK ze dne 15.6.2017</t>
  </si>
  <si>
    <t>075-07/2006/RK ze dne 30.03.2006                   013-11/2006/ZK ze dne 24.04.2006</t>
  </si>
  <si>
    <t>008-08/2013/RK ze dne 25.02.2013           004-03/2013/ZK ze dne 11.03.2013</t>
  </si>
  <si>
    <t>042-11/2011/RK ze dne 07.03.2011           047-15/2011/ZK ze dne 11.03.2011</t>
  </si>
  <si>
    <t>068-39/2015/RK ze dne 9.11.2015        006-20/2015/ZK ze dne 7.12.2015</t>
  </si>
  <si>
    <t>042-11/2011/RK ze dne 07.03.2011              047-15/2011/ZK ze dne 11.03.2011</t>
  </si>
  <si>
    <t>Nákup a rekonstrukce domu Kamýk</t>
  </si>
  <si>
    <t>Odborné učiliště, Praktická škola, Základní škola a Mateřská škola Příbram IV</t>
  </si>
  <si>
    <t>číselné hodnoty finančních prostředků jsou ukládány s přesností na haléře, pro přehlednost jsou zobrazovány zaokrouhleně na celé tis. Kč.</t>
  </si>
  <si>
    <t>Gymnázium J. S. Machara, Brandýs nad Labem - Stará Boleslav</t>
  </si>
  <si>
    <t>Školní statek Středočeského kraje, Mělník</t>
  </si>
  <si>
    <t>vlastní prostředky PO, a.s.</t>
  </si>
  <si>
    <t>prostředky rozpočtu SK kromě kap. 12</t>
  </si>
  <si>
    <t xml:space="preserve">016-06/2017/RK ze dne 16.2.2017   022-04/2017/ZK ze dne 7.3.2017     </t>
  </si>
  <si>
    <t>Hotová projektová dokumentace</t>
  </si>
  <si>
    <t>126/2019/SKOL</t>
  </si>
  <si>
    <t>1/2019/SKOL</t>
  </si>
  <si>
    <t>2/2019/SKOL</t>
  </si>
  <si>
    <t>3/2019/SKOL</t>
  </si>
  <si>
    <t>4/2019/SKOL</t>
  </si>
  <si>
    <t>5/2019/SKOL</t>
  </si>
  <si>
    <t>6/2019/SKOL</t>
  </si>
  <si>
    <t>7/2019/SKOL</t>
  </si>
  <si>
    <t>8/2019/SKOL</t>
  </si>
  <si>
    <t>10/2019/SKOL</t>
  </si>
  <si>
    <t>11/2019/SKOL</t>
  </si>
  <si>
    <t>12/2019/SKOL</t>
  </si>
  <si>
    <t>13/2019/SKOL</t>
  </si>
  <si>
    <t>14/2019/SKOL</t>
  </si>
  <si>
    <t>17/2019/SKOL</t>
  </si>
  <si>
    <t>18/2019/SKOL</t>
  </si>
  <si>
    <t>19/2019/SKOL</t>
  </si>
  <si>
    <t>20/2019/SKOL</t>
  </si>
  <si>
    <t>21/2019/SKOL</t>
  </si>
  <si>
    <t>23/2019/SKOL</t>
  </si>
  <si>
    <t>25/2019/SKOL</t>
  </si>
  <si>
    <t>26/2019/SKOL</t>
  </si>
  <si>
    <t>27/2019/SKOL</t>
  </si>
  <si>
    <t>31/2019/SKOL</t>
  </si>
  <si>
    <t>33/2019/SKOL</t>
  </si>
  <si>
    <t>34/2019/SKOL</t>
  </si>
  <si>
    <t>37/2019/SKOL</t>
  </si>
  <si>
    <t>38/2019/SKOL</t>
  </si>
  <si>
    <t>39/2019/SKOL</t>
  </si>
  <si>
    <t>41/2019/SKOL</t>
  </si>
  <si>
    <t>42/2019/SKOL</t>
  </si>
  <si>
    <t>43/2019/SKOL</t>
  </si>
  <si>
    <t>45/2019/SKOL</t>
  </si>
  <si>
    <t>49/2019/SKOL</t>
  </si>
  <si>
    <t>50/2019/SKOL</t>
  </si>
  <si>
    <t>51/2019/SKOL</t>
  </si>
  <si>
    <t>52/2019/SKOL</t>
  </si>
  <si>
    <t>53/2019/SKOL</t>
  </si>
  <si>
    <t>54/2019/SKOL</t>
  </si>
  <si>
    <t>55/2019/SKOL</t>
  </si>
  <si>
    <t>56/2019/SKOL</t>
  </si>
  <si>
    <t>58/2019/SKOL</t>
  </si>
  <si>
    <t>57/2019/SKOL</t>
  </si>
  <si>
    <t>60/2019/SKOL</t>
  </si>
  <si>
    <t>61/2019/SKOL</t>
  </si>
  <si>
    <t>62/2019/SKOL</t>
  </si>
  <si>
    <t>64/2019/SKOL</t>
  </si>
  <si>
    <t>66/2019/SKOL</t>
  </si>
  <si>
    <t>67/2019/SKOL</t>
  </si>
  <si>
    <t>68/2019/SKOL</t>
  </si>
  <si>
    <t>69/2019/SKOL</t>
  </si>
  <si>
    <t>70/2019/SKOL</t>
  </si>
  <si>
    <t>71/2019/SKOL</t>
  </si>
  <si>
    <t>72/2019/SKOL</t>
  </si>
  <si>
    <t>73/2019/SKOL</t>
  </si>
  <si>
    <t>74/2019/SKOL</t>
  </si>
  <si>
    <t>75/2019/SKOL</t>
  </si>
  <si>
    <t>77/2019/SKOL</t>
  </si>
  <si>
    <t>78/2019/SKOL</t>
  </si>
  <si>
    <t>79/2019/SKOL</t>
  </si>
  <si>
    <t>80/2019/SKOL</t>
  </si>
  <si>
    <t>81/2019/SKOL</t>
  </si>
  <si>
    <t>82/2019/SKOL</t>
  </si>
  <si>
    <t>83/2019/SKOL</t>
  </si>
  <si>
    <t>84/2019/SKOL</t>
  </si>
  <si>
    <t>85/2019/SKOL</t>
  </si>
  <si>
    <t>86/2019/SKOL</t>
  </si>
  <si>
    <t>87/2019/SKOL</t>
  </si>
  <si>
    <t>88/2019/SKOL</t>
  </si>
  <si>
    <t>89/2019/SKOL</t>
  </si>
  <si>
    <t>91/2019/SKOL</t>
  </si>
  <si>
    <t>92/2019/SKOL</t>
  </si>
  <si>
    <t>93/2019/SKOL</t>
  </si>
  <si>
    <t>94/2019/SKOL</t>
  </si>
  <si>
    <t>96/2019/SKOL</t>
  </si>
  <si>
    <t>97/2019/SKOL</t>
  </si>
  <si>
    <t>98/2019/SKOL</t>
  </si>
  <si>
    <t>99/2019/SKOL</t>
  </si>
  <si>
    <t>100/2019/SKOL</t>
  </si>
  <si>
    <t>101/2019/SKOL</t>
  </si>
  <si>
    <t>102/2019/SKOL</t>
  </si>
  <si>
    <t>103/2019/SKOL</t>
  </si>
  <si>
    <t>104/2019/SKOL</t>
  </si>
  <si>
    <t>105/2019/SKOL</t>
  </si>
  <si>
    <t>106/2019/SKOL</t>
  </si>
  <si>
    <t>107/2019/SKOL</t>
  </si>
  <si>
    <t>108/2019/SKOL</t>
  </si>
  <si>
    <t>110/2019/SKOL</t>
  </si>
  <si>
    <t>112/2019/SKOL</t>
  </si>
  <si>
    <t>113/2019/SKOL</t>
  </si>
  <si>
    <t>114/2019/SKOL</t>
  </si>
  <si>
    <t>115/2019/SKOL</t>
  </si>
  <si>
    <t>116/2019/SKOL</t>
  </si>
  <si>
    <t>117/2019/SKOL</t>
  </si>
  <si>
    <t>118/2019/SKOL</t>
  </si>
  <si>
    <t>119/2019/SKOL</t>
  </si>
  <si>
    <t>120/2019/SKOL</t>
  </si>
  <si>
    <t>121/2019/SKOL</t>
  </si>
  <si>
    <t>122/2019/SKOL</t>
  </si>
  <si>
    <t>123/2019/SKOL</t>
  </si>
  <si>
    <t>124/2019/SKOL</t>
  </si>
  <si>
    <t>0005611</t>
  </si>
  <si>
    <t>0005653</t>
  </si>
  <si>
    <t>Polabské muzeum, Přerov n.L.</t>
  </si>
  <si>
    <t>0005662</t>
  </si>
  <si>
    <t xml:space="preserve">Rozšíření hostované spisové služby pro krajské školy, v návaznosti na nařízení EU. Požadavek KÚ v rámci realizace projektů eGovernmentu. </t>
  </si>
  <si>
    <t>0005336</t>
  </si>
  <si>
    <t xml:space="preserve"> Jiné zdroje=PzP z kap. 05    smlouva na PD</t>
  </si>
  <si>
    <t>127/2019/SKOL</t>
  </si>
  <si>
    <t>Gymnázium Dr. Josefa Pekaře, Mladá Boleslav, Palackého 211</t>
  </si>
  <si>
    <t>Dokončení sanace suterénu</t>
  </si>
  <si>
    <t>je připravena dokumentace (z roku 2018)</t>
  </si>
  <si>
    <t>128/2019/SKOL</t>
  </si>
  <si>
    <t>Střední průmyslová škola, Mladá Boleslav, Havlíčkova 456</t>
  </si>
  <si>
    <t>Socha arch. Krohy</t>
  </si>
  <si>
    <t>129/2019/SKOL</t>
  </si>
  <si>
    <t>Základní škola a Praktická škola Jesenice, příspěvková organizace</t>
  </si>
  <si>
    <t>Svozový automobil</t>
  </si>
  <si>
    <t>130/2019/SKOL</t>
  </si>
  <si>
    <t>Integrovaná střední škola Rakovník, příspěvková organizace</t>
  </si>
  <si>
    <t>Koupě pozemku</t>
  </si>
  <si>
    <t>131/2019/SKOL</t>
  </si>
  <si>
    <t>Osobní automobil</t>
  </si>
  <si>
    <t>Nákup automobilu</t>
  </si>
  <si>
    <t>Vyšší odborná škola, Střední průmyslová škola a Obchodní akademie, Čáslav, Přemysla Otakara II. 938</t>
  </si>
  <si>
    <t>Rekonstrukce vzduchotechniky - kuchyň</t>
  </si>
  <si>
    <t>025-19/2019/RK ze dne 3.6.2019  095-19/2019/ZK ze dne 24.6.2019</t>
  </si>
  <si>
    <t>ANO
NE</t>
  </si>
  <si>
    <t>Realizace</t>
  </si>
  <si>
    <t>zhotovena PD</t>
  </si>
  <si>
    <t>Vybudování výtahu budova č. 1 a č. 2</t>
  </si>
  <si>
    <t>0005541</t>
  </si>
  <si>
    <t>52/2019/KUL</t>
  </si>
  <si>
    <t>Prototyp parkovacího modulu pro cyklisty</t>
  </si>
  <si>
    <t>53/2019/KUL</t>
  </si>
  <si>
    <t>Vybavení depozitních prostor Polabského muzea úložnými systémy</t>
  </si>
  <si>
    <t>54/2019/KUL</t>
  </si>
  <si>
    <t>Středočeská vědecká knihovna v Kladně</t>
  </si>
  <si>
    <t>Žaluzie na elektrické dálkové ovládání - zatemnění studovny a nákup tiskárny A3+</t>
  </si>
  <si>
    <t>55/2019/KUL</t>
  </si>
  <si>
    <t>Modely a raznice pamětních mincí</t>
  </si>
  <si>
    <t>56/2019/KUL</t>
  </si>
  <si>
    <t>Pořízení nové schodišťové plošiny pro vozíčkáře do budovy muzea v Huťské 1375, Kladno</t>
  </si>
  <si>
    <t>57/2019/KUL</t>
  </si>
  <si>
    <t>Rekonstrukce objektu konírny</t>
  </si>
  <si>
    <t>58/2019/KUL</t>
  </si>
  <si>
    <t>Rekonstrukce bytu Polabského muzea</t>
  </si>
  <si>
    <t>11/2020</t>
  </si>
  <si>
    <t xml:space="preserve">Místa pro kontrolu nákladních vozidel </t>
  </si>
  <si>
    <t>III/24420 Nedomice, rekonstrukce</t>
  </si>
  <si>
    <t>III/23644 a III/10142 Slaný, Žižice</t>
  </si>
  <si>
    <t>Rekonstrukce vážních míst VRN vozidel - II/101 Neratovice, II/101 Říčany, II/125 Kolín-Sendražice a II/331 Ovčáry u Mělníka</t>
  </si>
  <si>
    <t xml:space="preserve">Přípravné a projekční práce zabezpečení investičních staveb </t>
  </si>
  <si>
    <t>Roždalovice MK ul. Spojovací budoucí III/27523</t>
  </si>
  <si>
    <t>OK silnic III/10114 a III/0315</t>
  </si>
  <si>
    <t>Pyšely - III/0311 a III/0312, rekonstrukce silnic</t>
  </si>
  <si>
    <t xml:space="preserve">Benešov, dopravní opatření </t>
  </si>
  <si>
    <t>Most ev.č.33355-1 přes Hořanský potok v obci Libenice</t>
  </si>
  <si>
    <t>113-013 Most přes strouhu v obci Třemošnice</t>
  </si>
  <si>
    <t>23933-4 Hobšovice</t>
  </si>
  <si>
    <t>Most III/25915 Bezděz, rekonstrukce mostu 25915-1</t>
  </si>
  <si>
    <t>III/3272 Hlízov</t>
  </si>
  <si>
    <t>III/3287 Velký Osek</t>
  </si>
  <si>
    <t>III/3275 Starý Kolín</t>
  </si>
  <si>
    <t>III/33012 Písty</t>
  </si>
  <si>
    <t>III/1256 Vlašim - Veliš</t>
  </si>
  <si>
    <t>59/2019/KUL</t>
  </si>
  <si>
    <t>Nákup pódia</t>
  </si>
  <si>
    <t>60/2019KUL</t>
  </si>
  <si>
    <t>Vstup do areálu v Libčicích a oplocení</t>
  </si>
  <si>
    <t>61/2019KUL</t>
  </si>
  <si>
    <t>Nový kotel a bojler v areálu Libčice</t>
  </si>
  <si>
    <t>62/2019KUL</t>
  </si>
  <si>
    <t>Rekonstrukce střechy a souvisejících interiérových podhledů - Sedlec</t>
  </si>
  <si>
    <t>132/2019/SKOL</t>
  </si>
  <si>
    <t>133/2019/SKOL</t>
  </si>
  <si>
    <t>134/2019/SKOL</t>
  </si>
  <si>
    <t>121/2019/SOC</t>
  </si>
  <si>
    <t>Rekonstrukce šaten pro zaměstnance</t>
  </si>
  <si>
    <t>109/2019/DOP</t>
  </si>
  <si>
    <t>110/2019/DOP</t>
  </si>
  <si>
    <t>111/2019/DOP</t>
  </si>
  <si>
    <t>112/2019/DOP</t>
  </si>
  <si>
    <t>113/2019/DOP</t>
  </si>
  <si>
    <t>114/2019/DOP</t>
  </si>
  <si>
    <t>115/2019/DOP</t>
  </si>
  <si>
    <t>116/2019/DOP</t>
  </si>
  <si>
    <t>117/2019/DOP</t>
  </si>
  <si>
    <t>118/2019/DOP</t>
  </si>
  <si>
    <t>119/2019/DOP</t>
  </si>
  <si>
    <t>120/2019/DOP</t>
  </si>
  <si>
    <t>121/2019/DOP</t>
  </si>
  <si>
    <t>122/2019/DOP</t>
  </si>
  <si>
    <t>123/2019/DOP</t>
  </si>
  <si>
    <t>124/2019/DOP</t>
  </si>
  <si>
    <t>125/2019/DOP</t>
  </si>
  <si>
    <t>126/2019/DOP</t>
  </si>
  <si>
    <t>127/2019/DOP</t>
  </si>
  <si>
    <t>Uskutečněná dodávka HW a SW, pokračuje plnění ze smlouvy. Další investice plánovány na rok 2020 a 2021</t>
  </si>
  <si>
    <t>hotová PD, nebylo vyhlášeno VŘ</t>
  </si>
  <si>
    <t>0005734</t>
  </si>
  <si>
    <t>vše připraveno k vyhlášení VZ</t>
  </si>
  <si>
    <t>1.Q          (1.1.-31.3.)</t>
  </si>
  <si>
    <t>2.Q         (1.4.-30.6.)</t>
  </si>
  <si>
    <t>0005743</t>
  </si>
  <si>
    <t>11/2019/OŘÚ</t>
  </si>
  <si>
    <t>12/2019/OŘÚ</t>
  </si>
  <si>
    <t>128/2019/DOP</t>
  </si>
  <si>
    <t>III/1057 komunikace na hrázi Dunávického rybníka</t>
  </si>
  <si>
    <t>129/2019/DOP</t>
  </si>
  <si>
    <t>Letiště Benešov – zpevnění RWY a SZZ</t>
  </si>
  <si>
    <t>130/2019/DOP</t>
  </si>
  <si>
    <t>131/2019/DOP</t>
  </si>
  <si>
    <t>II/113 Český Brod, ul. Jana Kouly</t>
  </si>
  <si>
    <t>132/2019/DOP</t>
  </si>
  <si>
    <t>III/33723 Drobovice - Tupadly</t>
  </si>
  <si>
    <t>133/2019/DOP</t>
  </si>
  <si>
    <t>III/3315 Lysá nad Labem</t>
  </si>
  <si>
    <t>134/2019/DOP</t>
  </si>
  <si>
    <t>III/10169 Hradešín</t>
  </si>
  <si>
    <t>135/2019/DOP</t>
  </si>
  <si>
    <t>III/12536 Červený Hrádek - Solopysky</t>
  </si>
  <si>
    <t>136/2019/DOP</t>
  </si>
  <si>
    <t>III/33429 Mělník</t>
  </si>
  <si>
    <t>137/2019/DOP</t>
  </si>
  <si>
    <t>II/115 Osov - Hostomice</t>
  </si>
  <si>
    <t>138/2019/DOP</t>
  </si>
  <si>
    <t>III/11539, 11540 Tmaň, křižovatka pod kostelem</t>
  </si>
  <si>
    <t>139/2019/DOP</t>
  </si>
  <si>
    <t>III/1011 Vojkov-Strašín</t>
  </si>
  <si>
    <t>140/2019/DOP</t>
  </si>
  <si>
    <t>III/33915 Bohdaneč - Ostrov</t>
  </si>
  <si>
    <t>141/2019/DOP</t>
  </si>
  <si>
    <t>III/32825 Kamilov</t>
  </si>
  <si>
    <t>142/2019/DOP</t>
  </si>
  <si>
    <t>Předměřice n.Jizerou odvodnění silnice III/3314-směr Stará Lysá</t>
  </si>
  <si>
    <t>143/2019/DOP</t>
  </si>
  <si>
    <t>II/126 Kutná Hora, Hrnčířská, odvodnění silnice</t>
  </si>
  <si>
    <t>144/2019/DOP</t>
  </si>
  <si>
    <t>III/0092 Líbeznice - Měšice</t>
  </si>
  <si>
    <t>145/2019/DOP</t>
  </si>
  <si>
    <t>III/12541 Chocenice -. Křečhoř</t>
  </si>
  <si>
    <t>146/2019/DOP</t>
  </si>
  <si>
    <t xml:space="preserve">III/1917 Nesvačily - Strýčkovy </t>
  </si>
  <si>
    <t>147/2019/DOP</t>
  </si>
  <si>
    <t>III/2751 Nemyslovice - Velké Vševily</t>
  </si>
  <si>
    <t>148/2019/DOP</t>
  </si>
  <si>
    <t>III/12511 Vlašim</t>
  </si>
  <si>
    <t>149/2019/DOP</t>
  </si>
  <si>
    <t>Propustek Černé Voděrady III/11320 km 5,520</t>
  </si>
  <si>
    <t>150/2019/DOP</t>
  </si>
  <si>
    <t>II/244 Měšice, rekonstrukce mostu ev.č. 244-001, demolice mostu</t>
  </si>
  <si>
    <t>151/2019/DOP</t>
  </si>
  <si>
    <t>Propustky Hradec III/1083 km 1,900, km 1,800 a km 3,200</t>
  </si>
  <si>
    <t>152/2019/DOP</t>
  </si>
  <si>
    <t xml:space="preserve">Most ev.č 245-008 přes suchou strouhu v obci Mochov, most ev.č. 279-017 přes potok před obcí Skyšice </t>
  </si>
  <si>
    <t>153/2019/DOP</t>
  </si>
  <si>
    <t>Propustek Červené Janovice III/0172 km 0,715</t>
  </si>
  <si>
    <t>154/2019/DOP</t>
  </si>
  <si>
    <t>III/12537 Červený Hrádek, most ev.č. 12537-1</t>
  </si>
  <si>
    <t>155/2019/DOP</t>
  </si>
  <si>
    <t xml:space="preserve">Most ev. č. 27510-4 přes potok před obcí Charvátce, most ev.č. 27515-2 přes potok v obci Pěčice </t>
  </si>
  <si>
    <t>156/2019/DOP</t>
  </si>
  <si>
    <t xml:space="preserve">II/611, most ev.č.611-005 přes potok Výmola za obcí Mochov </t>
  </si>
  <si>
    <t>157/2019/DOP</t>
  </si>
  <si>
    <t>Propustek Bělušice III/3279 km 5,321, Propustek Sokoleč III/3297 km 3,000</t>
  </si>
  <si>
    <t>158/2019/DOP</t>
  </si>
  <si>
    <t>159/2019/DOP</t>
  </si>
  <si>
    <t>II/268 Klášter Hradiště n. Jiz., most ev.č. 268-007</t>
  </si>
  <si>
    <t>160/2019/DOP</t>
  </si>
  <si>
    <t>II/244 Kostelec nad Labem, most ev.č. 244-007 přes Labe za Kostelcem nad Labem</t>
  </si>
  <si>
    <t>161/2019/DOP</t>
  </si>
  <si>
    <t>II/114, most ev. č. 114 - 011 přes potok za obcí Radouš</t>
  </si>
  <si>
    <t>162/2019/DOP</t>
  </si>
  <si>
    <t>III/24032 Budihostice, most ev.č.24032-2 přes Vranský potok</t>
  </si>
  <si>
    <t>163/2019/DOP</t>
  </si>
  <si>
    <t>II/114, most ev. č. 114 - 013 přes potok za obcí Bezdětice</t>
  </si>
  <si>
    <t>164/2019/DOP</t>
  </si>
  <si>
    <t>III/3396 Bohdaneč, most ev.č. 3396-1</t>
  </si>
  <si>
    <t>165/2019/DOP</t>
  </si>
  <si>
    <t>Most ev.č. 11320-4 Penčice</t>
  </si>
  <si>
    <t>166/2019/DOP</t>
  </si>
  <si>
    <t>III/11626, most ev. č. ZY 11626 - 1 osazení Mostního provizoria Mníšek Pod Brdy</t>
  </si>
  <si>
    <t>167/2019/DOP</t>
  </si>
  <si>
    <t>III/24026 Luníkov, most ev.č. 24026-1 přes Červený potok</t>
  </si>
  <si>
    <t>168/2019/DOP</t>
  </si>
  <si>
    <t>II/339 Bohdaneč,most ev.č.339-007 a propustek</t>
  </si>
  <si>
    <t>169/2019/DOP</t>
  </si>
  <si>
    <t xml:space="preserve">III/12556 Dobešovice, most ev.č. 12556-2 </t>
  </si>
  <si>
    <t>170/2019/DOP</t>
  </si>
  <si>
    <t>II/118 Železná</t>
  </si>
  <si>
    <t>171/2019/DOP</t>
  </si>
  <si>
    <t>III/10124 Nučice</t>
  </si>
  <si>
    <t>172/2019/DOP</t>
  </si>
  <si>
    <t>III/2411 Unětice</t>
  </si>
  <si>
    <t>173/2019/DOP</t>
  </si>
  <si>
    <t>III/10122 Mořina</t>
  </si>
  <si>
    <t>174/2019/DOP</t>
  </si>
  <si>
    <t>IIII/11715 Chaloupky - Neřešín</t>
  </si>
  <si>
    <t>175/2019/DOP</t>
  </si>
  <si>
    <t>III/2684 Suhrovice</t>
  </si>
  <si>
    <t>176/2019/DOP</t>
  </si>
  <si>
    <t>III/27611 Horka u Bakova nad Jizerou</t>
  </si>
  <si>
    <t>177/2019/DOP</t>
  </si>
  <si>
    <t>III/27223, III/27225A Strenice</t>
  </si>
  <si>
    <t>178/2019/DOP</t>
  </si>
  <si>
    <t>III/26820 Dolní Bukovina</t>
  </si>
  <si>
    <t>179/2019/DOP</t>
  </si>
  <si>
    <t>III/26817, III/26819 Jivina</t>
  </si>
  <si>
    <t>180/2019/DOP</t>
  </si>
  <si>
    <t>II/244 Čečelice</t>
  </si>
  <si>
    <t>181/2019/DOP</t>
  </si>
  <si>
    <t>III/2763 Ptýrovec</t>
  </si>
  <si>
    <t>182/2019/DOP</t>
  </si>
  <si>
    <t>III/33313, III/0126a, III/01211, III/10173, III/0128, III/0127 Šibřina, Stupice</t>
  </si>
  <si>
    <t>183/2019/DOP</t>
  </si>
  <si>
    <t>III/33316 Vyžlovka</t>
  </si>
  <si>
    <t>184/2019/DOP</t>
  </si>
  <si>
    <t>III/00326 Křížkový Újezdec, Čenětice</t>
  </si>
  <si>
    <t>185/2019/DOP</t>
  </si>
  <si>
    <t>II/508, III/11319 Mnichovice, Myšlín</t>
  </si>
  <si>
    <t>186/2019/DOP</t>
  </si>
  <si>
    <t>III/1138, III/1139 Vrátkov</t>
  </si>
  <si>
    <t>187/2019/DOP</t>
  </si>
  <si>
    <t>III/10812 Kšely</t>
  </si>
  <si>
    <t>188/2019/DOP</t>
  </si>
  <si>
    <t>III/33725 Vrdy</t>
  </si>
  <si>
    <t>189/2019/DOP</t>
  </si>
  <si>
    <t>II/334, III/3341, III/3305 Klučov, Skramníky, Žhery</t>
  </si>
  <si>
    <t>190/2019/DOP</t>
  </si>
  <si>
    <t>III/3305a, III/3308 Poříčany</t>
  </si>
  <si>
    <t>191/2019/DOP</t>
  </si>
  <si>
    <t>III/3241 Velenice</t>
  </si>
  <si>
    <t>192/2019/DOP</t>
  </si>
  <si>
    <t>III/11444, III/11447, III/11451 Maršovice</t>
  </si>
  <si>
    <t>193/2019/DOP</t>
  </si>
  <si>
    <t>III/11417 Občov</t>
  </si>
  <si>
    <t>194/2019/DOP</t>
  </si>
  <si>
    <t>III/1056, III/1057, III/1059, III/10510, III/1065</t>
  </si>
  <si>
    <t>195/2019/DOP</t>
  </si>
  <si>
    <t>III/10226 Svaté Pole</t>
  </si>
  <si>
    <t>196/2019/DOP</t>
  </si>
  <si>
    <t>Dopravní opatření na křižovatce II/114 a III/11628 v Dobříši</t>
  </si>
  <si>
    <t>197/2019/DOP</t>
  </si>
  <si>
    <t>III/24021 Nelahozeves svodidlo</t>
  </si>
  <si>
    <t>198/2019/DOP</t>
  </si>
  <si>
    <t xml:space="preserve">BESIP svodidla obl. Benešov 2019 </t>
  </si>
  <si>
    <t>199/2019/DOP</t>
  </si>
  <si>
    <t>III/22916,III/22917a III/22917n Krupá</t>
  </si>
  <si>
    <t>200/2019/DOP</t>
  </si>
  <si>
    <t>III/22940 Pochvalov</t>
  </si>
  <si>
    <t>201/2019/DOP</t>
  </si>
  <si>
    <t>III/11517,III/11519 Zadní Třebáň</t>
  </si>
  <si>
    <t>12/2021</t>
  </si>
  <si>
    <t>09/2019</t>
  </si>
  <si>
    <t>18/2019/INF</t>
  </si>
  <si>
    <t>Nákup výpočetní techniky pro nové zastupitele</t>
  </si>
  <si>
    <t>Nákup notebooků pro nové zastupitele</t>
  </si>
  <si>
    <t>19/2019/INF</t>
  </si>
  <si>
    <t>Nový intranet krajského úřadu</t>
  </si>
  <si>
    <t>92019</t>
  </si>
  <si>
    <t>0005865</t>
  </si>
  <si>
    <t>0005866</t>
  </si>
  <si>
    <t>0005867</t>
  </si>
  <si>
    <t>0005868</t>
  </si>
  <si>
    <t>0005869</t>
  </si>
  <si>
    <t>0005870</t>
  </si>
  <si>
    <t>0005876</t>
  </si>
  <si>
    <t>0005871</t>
  </si>
  <si>
    <t>0005872</t>
  </si>
  <si>
    <t>0005873</t>
  </si>
  <si>
    <t>0005874</t>
  </si>
  <si>
    <t>0005875</t>
  </si>
  <si>
    <t>63/2019/KUL</t>
  </si>
  <si>
    <t>64/2019/KUL</t>
  </si>
  <si>
    <t>Ústav archeologické památkové péče středních Čech</t>
  </si>
  <si>
    <t>Depozitář Kounice – posuvné regály</t>
  </si>
  <si>
    <t>65/2019/KUL</t>
  </si>
  <si>
    <t>Hornicko-hutnická expozice</t>
  </si>
  <si>
    <t>Část 1
Podepsán dodatek ke smlouvě (časový horizont=finanční plnění dle smlouvy o dotaci k 7/2019, 9/2019), příprava vyúřčtování 
Část 2
Jiné zdroje = prostředky nemocnice, příprava ZD, bude relizována v případě potřeby (havarijní stav)</t>
  </si>
  <si>
    <t>Část 1
UKONČENO
Část 2
PŘÍPRAVA VZ</t>
  </si>
  <si>
    <t xml:space="preserve">9/2019
DLE POTŘEBY
</t>
  </si>
  <si>
    <t>0005740</t>
  </si>
  <si>
    <t>0005742</t>
  </si>
  <si>
    <t>0005739</t>
  </si>
  <si>
    <t>0005741</t>
  </si>
  <si>
    <t>Rekonstrukce evakuačních výtahů</t>
  </si>
  <si>
    <t>Rekonstrukce střechy objektu G</t>
  </si>
  <si>
    <t>Klimatizace objektu Interny</t>
  </si>
  <si>
    <t>Zvýšení kvality poskytované péče - pořízení zdravotnické techniky</t>
  </si>
  <si>
    <t>Vybudování prostor pro zaměstnance a rekonstrukce pokojů klientů</t>
  </si>
  <si>
    <t>Nákup polohovacích lůžek a aktivních matrací do příspěvkových organizací</t>
  </si>
  <si>
    <t>Rekonstrukce pláště střechy zámku</t>
  </si>
  <si>
    <t>122/2019/SOC</t>
  </si>
  <si>
    <t xml:space="preserve">Osobní automobil </t>
  </si>
  <si>
    <t>123/2019/SOC</t>
  </si>
  <si>
    <t>Nemocniční lůžka pro ošetřovatelský pokoj</t>
  </si>
  <si>
    <t>124/2019/SOC</t>
  </si>
  <si>
    <t>Osobní motorové vozidlo do DS</t>
  </si>
  <si>
    <t>125/2019/SOC</t>
  </si>
  <si>
    <t xml:space="preserve">Rekonstrukce koupelny a pokoje </t>
  </si>
  <si>
    <t>Rekonstrukce podlah na chodbách</t>
  </si>
  <si>
    <t>Zpracování projektové dokumentace na akci „Rozšíření vodárenské soustavy v koridoru dálnice D3"</t>
  </si>
  <si>
    <t>0005815</t>
  </si>
  <si>
    <t>0005337</t>
  </si>
  <si>
    <t>0005744</t>
  </si>
  <si>
    <t>0005817</t>
  </si>
  <si>
    <t>0005818</t>
  </si>
  <si>
    <t>0005824</t>
  </si>
  <si>
    <t>0005819</t>
  </si>
  <si>
    <t>0005820</t>
  </si>
  <si>
    <t>135/2019/SKOL</t>
  </si>
  <si>
    <t>Zateplení budovy Velíšská 116</t>
  </si>
  <si>
    <t>136/2019/SKOL</t>
  </si>
  <si>
    <t>Služební automobil</t>
  </si>
  <si>
    <t>137/2019/SKOL</t>
  </si>
  <si>
    <t>Dodávkové auto, Mělník</t>
  </si>
  <si>
    <t>138/2019/SKOL</t>
  </si>
  <si>
    <t>Dům dětí a mládeže Beroun, U Stadionu 787 (Svatojánská 217)</t>
  </si>
  <si>
    <t>Odvlhčení objektu DDM Beroun</t>
  </si>
  <si>
    <t>139/2019/SKOL</t>
  </si>
  <si>
    <t>Střední zdravotnická škola a Vyšší odborná škola zdravotnická, Příbram I, Jiráskovy sady 113</t>
  </si>
  <si>
    <t>Dovybavení kuchyně, elektrické kotle</t>
  </si>
  <si>
    <t>III/33310 Šestajovice, průtah (ul. Revoluční)</t>
  </si>
  <si>
    <t>66/2019/KUL</t>
  </si>
  <si>
    <t>Doplnění sněhových zábran včetně výměny okapů na Jezuitské koleji</t>
  </si>
  <si>
    <t>140/2019/SKOL</t>
  </si>
  <si>
    <t>141/2019/SKOL</t>
  </si>
  <si>
    <t>Střední odborná škola a Střední odborné učiliště Vlašim, Zámek 1</t>
  </si>
  <si>
    <t>127/2019/SOC</t>
  </si>
  <si>
    <t>rekonstrukce el. sítě a osvětlení pro Domov Rožďalovice</t>
  </si>
  <si>
    <t xml:space="preserve">Stavební úprava mostů na CMS Králův Dvůr oblast Kladno </t>
  </si>
  <si>
    <t>137/2019/ZDR</t>
  </si>
  <si>
    <t>138/2019/ZDR</t>
  </si>
  <si>
    <t>139/2019/ZDR</t>
  </si>
  <si>
    <t>140/2019/ZDR</t>
  </si>
  <si>
    <t>141/2019/ZDR</t>
  </si>
  <si>
    <t>ANO
ANO
ANO</t>
  </si>
  <si>
    <r>
      <rPr>
        <sz val="11"/>
        <rFont val="Arial"/>
        <family val="2"/>
        <charset val="238"/>
      </rPr>
      <t xml:space="preserve">Část 1 Pozastaveno
</t>
    </r>
    <r>
      <rPr>
        <sz val="10"/>
        <rFont val="Arial"/>
        <family val="2"/>
        <charset val="238"/>
      </rPr>
      <t xml:space="preserve">
Část 2 REALIZACE
Část 3 REALIZACE</t>
    </r>
  </si>
  <si>
    <t>REALIZOVÁNO, UKONČENA FAKTURACE, Podepsán dodatek 
ke smlouvě (časový horizont=finanční plnění dle smlouvy o dotaci 
k 7/2019), příprava vyúčtování.</t>
  </si>
  <si>
    <t xml:space="preserve"> Probíhá soudní spor. 
Dodávky dokončeny.</t>
  </si>
  <si>
    <t>snížení CN o 25 tis. Kč</t>
  </si>
  <si>
    <t>ano</t>
  </si>
  <si>
    <t>3/2019/KHT</t>
  </si>
  <si>
    <t>0005777</t>
  </si>
  <si>
    <t>0005826</t>
  </si>
  <si>
    <t>0005845</t>
  </si>
  <si>
    <t>13/2019/OŘÚ</t>
  </si>
  <si>
    <t>Pořízení osobního vozidla vyšší střední třídy</t>
  </si>
  <si>
    <t>Rekonstrukce sociálních zařízení v budově KÚ</t>
  </si>
  <si>
    <t>Pořízení frankovacího stroje</t>
  </si>
  <si>
    <t>PD podeps., jiné zdroje=vlastní zdroje PO</t>
  </si>
  <si>
    <t>4/2019/KHT</t>
  </si>
  <si>
    <t>Participativní rozpočet</t>
  </si>
  <si>
    <t>Adaptace skiaskopického pracoviště</t>
  </si>
  <si>
    <t>Rekonstrukce části střechy chirurgického pavilonu</t>
  </si>
  <si>
    <t>Pasívní chlazení budov II. fáze</t>
  </si>
  <si>
    <t>ON Ml. Boleslav, a. s., nem. SČK</t>
  </si>
  <si>
    <t>Demolice garáží v areálu ONMB</t>
  </si>
  <si>
    <t>142/2019/ZDR</t>
  </si>
  <si>
    <t>143/2019/ZDR</t>
  </si>
  <si>
    <t>144/2019/ZDR</t>
  </si>
  <si>
    <t>145/2019/ZDR</t>
  </si>
  <si>
    <t>146/2019/ZDR</t>
  </si>
  <si>
    <t>Časový horizont změny aktuálního stavu (měsíc /rok)</t>
  </si>
  <si>
    <t>Finanční prostředky r.  2020</t>
  </si>
  <si>
    <t>3.Q         (1.7.-30.9.)</t>
  </si>
  <si>
    <t>4.Q         (1.10.-31.12.)</t>
  </si>
  <si>
    <t>Předpokládané čerpání r.  2020</t>
  </si>
  <si>
    <t>Obsahem je nákup SW evidenci projektů, který dodavatel již připravuje, ale bude dokončen na přelomu roku, a nákup licencí SQL server</t>
  </si>
  <si>
    <t>Budou zakoupeny licence windows server</t>
  </si>
  <si>
    <t xml:space="preserve">Důvodem rozšíření je zajištění konverze dokumentů Word na .pdf/A k elektronickému podepisování dokumentů v IS GINIS z důvodu kompatibility a přechodu na verzi IS GINIS 3.82, dokončen nákup licencí. </t>
  </si>
  <si>
    <t xml:space="preserve">hotová PD, zbytek financován z jiných zdrojů=kap. 05  (příjmy z pronájmů)- tím ukončeny nároky na financování z Kap.12.  </t>
  </si>
  <si>
    <t>0005761</t>
  </si>
  <si>
    <t>0005898</t>
  </si>
  <si>
    <t>Zásobník investic Středočeského kraje na rok 2020 - změna č. 1</t>
  </si>
  <si>
    <t>v ZI od roku</t>
  </si>
  <si>
    <t>Zařazeno do Zásobníku investic usnesením RK/ZK</t>
  </si>
  <si>
    <t>0005850</t>
  </si>
  <si>
    <t>0005851</t>
  </si>
  <si>
    <t>0005852</t>
  </si>
  <si>
    <t>0005853</t>
  </si>
  <si>
    <t>0004491</t>
  </si>
  <si>
    <t>0005859</t>
  </si>
  <si>
    <t>0005780</t>
  </si>
  <si>
    <t>0003227</t>
  </si>
  <si>
    <t>0002920</t>
  </si>
  <si>
    <t>Kapitálové prostředky v Zásobníku investic 2020</t>
  </si>
  <si>
    <t>10/2025</t>
  </si>
  <si>
    <t>Rozšíření záložního zdroje</t>
  </si>
  <si>
    <t>Zakázka se nebude realizovat (CN  2 mil. Kč - z r. 2021)</t>
  </si>
  <si>
    <t>Rozšíření IS GINIS na žádost FIN a vedení KÚ v souvislosti s elektronizací dokumentů Rady SčK. Dvě faktury uhrazeny 11.11.2019.</t>
  </si>
  <si>
    <t>20/2020/INF</t>
  </si>
  <si>
    <t>Redundace LAN infrastruktury</t>
  </si>
  <si>
    <t>Modernizace zastaralých síťových prvků a zajištění redundance v rámci L2 a L3 infrastruktury v souvislosti s provozem nového technologického centra kraje (Praha/Kladno).</t>
  </si>
  <si>
    <t>21/2020/INF</t>
  </si>
  <si>
    <t>Rozšíření systému zálohování prostřednictvím Data Domain appliance v rámci technologického centra</t>
  </si>
  <si>
    <t xml:space="preserve">Důvodem jsou stále větší požadavky na zálohování v souvislosti s elektronizací agend úřadu. Aktuálně jsou kapacitní zdroje vyčerpány. </t>
  </si>
  <si>
    <t>0005849</t>
  </si>
  <si>
    <t>0005882</t>
  </si>
  <si>
    <t>0005907</t>
  </si>
  <si>
    <t>0005959</t>
  </si>
  <si>
    <t>0005825</t>
  </si>
  <si>
    <t>0005952</t>
  </si>
  <si>
    <t>0005951</t>
  </si>
  <si>
    <t>0005947</t>
  </si>
  <si>
    <t>0005946</t>
  </si>
  <si>
    <t>0005945</t>
  </si>
  <si>
    <t>0005943</t>
  </si>
  <si>
    <t>0005938</t>
  </si>
  <si>
    <t>0005910</t>
  </si>
  <si>
    <t>0005897</t>
  </si>
  <si>
    <t>0005895</t>
  </si>
  <si>
    <t>0005894</t>
  </si>
  <si>
    <t>0005893</t>
  </si>
  <si>
    <t>0005892</t>
  </si>
  <si>
    <t>0005889</t>
  </si>
  <si>
    <t>0005888</t>
  </si>
  <si>
    <t>0006012</t>
  </si>
  <si>
    <t>0003589</t>
  </si>
  <si>
    <t>0005891</t>
  </si>
  <si>
    <t>0005896</t>
  </si>
  <si>
    <t>0005913</t>
  </si>
  <si>
    <t>0005937</t>
  </si>
  <si>
    <t>0005942</t>
  </si>
  <si>
    <t>0005980</t>
  </si>
  <si>
    <t>0005981</t>
  </si>
  <si>
    <t>0005984</t>
  </si>
  <si>
    <t>0005986</t>
  </si>
  <si>
    <t>0005988</t>
  </si>
  <si>
    <t>0005989</t>
  </si>
  <si>
    <t>0005995</t>
  </si>
  <si>
    <t>0005998</t>
  </si>
  <si>
    <t>0005999</t>
  </si>
  <si>
    <t>0006003</t>
  </si>
  <si>
    <t>0005911</t>
  </si>
  <si>
    <t>0005864</t>
  </si>
  <si>
    <t>0005941</t>
  </si>
  <si>
    <t>0005957</t>
  </si>
  <si>
    <t>0005974</t>
  </si>
  <si>
    <t>0005985</t>
  </si>
  <si>
    <t>0005964</t>
  </si>
  <si>
    <t>0006020</t>
  </si>
  <si>
    <t>0006011</t>
  </si>
  <si>
    <t>0006019</t>
  </si>
  <si>
    <t>0005965</t>
  </si>
  <si>
    <t>0005963</t>
  </si>
  <si>
    <t>0005962</t>
  </si>
  <si>
    <t>0005927</t>
  </si>
  <si>
    <t>0005928</t>
  </si>
  <si>
    <t>0005929</t>
  </si>
  <si>
    <t>0005930</t>
  </si>
  <si>
    <t>0005931</t>
  </si>
  <si>
    <t>0006022</t>
  </si>
  <si>
    <t>0006023</t>
  </si>
  <si>
    <t>0006024</t>
  </si>
  <si>
    <t>0006025</t>
  </si>
  <si>
    <t>0006026</t>
  </si>
  <si>
    <t>0006030</t>
  </si>
  <si>
    <t>0006031</t>
  </si>
  <si>
    <t>0006041</t>
  </si>
  <si>
    <t>změna financování - převod 4,871 mil. Kč z r. 2020 do r. 2021</t>
  </si>
  <si>
    <t>0005922</t>
  </si>
  <si>
    <t>0005923</t>
  </si>
  <si>
    <t>0005924</t>
  </si>
  <si>
    <t>0005925</t>
  </si>
  <si>
    <t>0005926</t>
  </si>
  <si>
    <t>X</t>
  </si>
  <si>
    <t>změna financování - převod 1,561 mil Kč z r. 2019 do r. 2020.  Uzavřena smlouva s účinností od 5.11.2019</t>
  </si>
  <si>
    <t>Přechod na verzi Enterprise je součástí zakázky na zajištění podpory GINIS. K zakázce byla uzavřena smlouva s účinností od 07.11.2019. Snížení CN o 67 tis. Kč</t>
  </si>
  <si>
    <t xml:space="preserve">změna financování - převod 54 tis. Kč z r. 2019 do r. 2020.    Zakázka bude realizována průběžně dle potřeb IS KÚ. </t>
  </si>
  <si>
    <t>Změna financování - převod 1 mil Kč z r. 2019 do r. 2020.    Probíhá příprava zakázky na modernizaci počítačové učebny, v plánu je modernizace zasedací místnosti rady.</t>
  </si>
  <si>
    <t>navýšení CN o 600 tis. Kč (nákup dalšího vozidla), změna financování (převod 219 tis. Kč z r. 2019 do r. 2020)</t>
  </si>
  <si>
    <t>snížení CN o 285 tis. Kč</t>
  </si>
  <si>
    <t>snížení CN o 1,148 mil. Kč</t>
  </si>
  <si>
    <t>stavební realizace, snížení CN o 452 tis. Kč, změna financování - převod 2,189 mil. Kč z r. 2019 do r. 2020</t>
  </si>
  <si>
    <t>snížení CN o 314 tis. Kč</t>
  </si>
  <si>
    <t>snížení CN o 142 tis. Kč, změna financování (přesun 943 tis. Kč z r. 2019 do r. 2020)</t>
  </si>
  <si>
    <t>2/2021</t>
  </si>
  <si>
    <t xml:space="preserve"> změna financování - převod 8 tis. (náklady na kolaudaci) z r. 2019 do r. 2020</t>
  </si>
  <si>
    <t>snížení CN o 531 tis. Kč</t>
  </si>
  <si>
    <t xml:space="preserve">snížení celk. nákladů o 750 tis. Kč </t>
  </si>
  <si>
    <t>snížení nákladů o 202 tis. Kč</t>
  </si>
  <si>
    <t>snížení CN o 92 tis. Kč</t>
  </si>
  <si>
    <t>snížení nákladů o 26 tis. Kč</t>
  </si>
  <si>
    <t>snížení nákladů o 825 Kč</t>
  </si>
  <si>
    <t>změna financování (převod 290 tis.Kč z r. 2019 do r. 2020)</t>
  </si>
  <si>
    <t>snížení cel. nákladů o 103 tis. Kč</t>
  </si>
  <si>
    <t>řešeno jinou PD, právní spor, změna financování (převod 350 tis.Kč z r. 2019 do r. 2021)</t>
  </si>
  <si>
    <t>KSUS</t>
  </si>
  <si>
    <t>snížení cel. nákladů o 426 tis. Kč</t>
  </si>
  <si>
    <t>snížení celkových nákladů o 40 tis. Kč</t>
  </si>
  <si>
    <t>Snížení CN o 8 tis. Kč</t>
  </si>
  <si>
    <t>3/2022</t>
  </si>
  <si>
    <t>Zvýšení ceny o 444 tis. Kč - vlivem PD</t>
  </si>
  <si>
    <t>stavebně hotovo</t>
  </si>
  <si>
    <t>změna financování - převod 5,821 mil. Kč z r. 2019 do r. 2020</t>
  </si>
  <si>
    <t>změna financování - převod 7,5 mil. Kč z r. 2019 do r. 2020</t>
  </si>
  <si>
    <t>navýšení CN o 101 tis. Kč (původně zadáno bez DPH)</t>
  </si>
  <si>
    <t>snížení CN o 1,245 mil. Kč</t>
  </si>
  <si>
    <t xml:space="preserve">snížení CN o 11 tis. Kč </t>
  </si>
  <si>
    <t>změna financování - převod 30 mil. Kč z r. 2021 do r. 2020</t>
  </si>
  <si>
    <t>změna financování - převod 500 tis. Kč z r. 2019 do r. 2020</t>
  </si>
  <si>
    <t>změna financování - převod 2 mil. Kč z r. 2020 do r. 2021</t>
  </si>
  <si>
    <t>navýšení CN o 3,787 mil. Kč (úprava PD), změna financování (přesun 1,213 mil. Kč z r. 2021 do r. 2020)</t>
  </si>
  <si>
    <t>Opěrná zeď silnic III/11619 Karlštejn</t>
  </si>
  <si>
    <t>změna financování (přesun 15,25  mil. Kč z r. 2021 do r. 2020)</t>
  </si>
  <si>
    <t>změna financování (přesun 11,948  mil. Kč z r. 2021 do r. 2020)</t>
  </si>
  <si>
    <t>změna financování (přesun 12,1  mil. Kč z r. 2021 do r. 2020)</t>
  </si>
  <si>
    <t>změna financování (přesun 12,99  mil. Kč z r. 2021 do r. 2020)</t>
  </si>
  <si>
    <t>změna financování (přesun 23,88 mil. Kč z r. 2021 do r. 2020)</t>
  </si>
  <si>
    <t>změna financování (přesun 20 mil. Kč z r. 2021 do r. 2020)</t>
  </si>
  <si>
    <t>změna financování (přesun 1 mil. Kč z r. 2021 do r. 2020)</t>
  </si>
  <si>
    <t>II/113 opěrná zed obci Bílkovice u mostu ev. Č. 113-014</t>
  </si>
  <si>
    <t>snížení CN o 74 tis. Kč</t>
  </si>
  <si>
    <t>snížení CN o 123 tis. Kč</t>
  </si>
  <si>
    <t>snížení CN o 112 tis. Kč</t>
  </si>
  <si>
    <t>snížení CN o 101 tis. Kč</t>
  </si>
  <si>
    <t>snížení CN o 168 tis. Kč</t>
  </si>
  <si>
    <t>snížení CN o 545 tis. Kč</t>
  </si>
  <si>
    <t>změna financování - převod 18,696 mil. Kč z r. 2019 do r. 2020, stavebně 1/2 hotova</t>
  </si>
  <si>
    <t>změna financování - převod 3,864 mil. Kč z r. 2019 do r. 2020</t>
  </si>
  <si>
    <t>změna financování (124 tis. Kč převedeno z r. 2019 do r. 2020)</t>
  </si>
  <si>
    <t>4/2021</t>
  </si>
  <si>
    <t>navýšení o 704 tis. Kč (o DPH + TDI), změna financování (266 tis. Kč převedeno z r. 2019 do r. 2020)</t>
  </si>
  <si>
    <t>snížení celk. nákladů o 40 tis. Kč</t>
  </si>
  <si>
    <t>změna financování (1,91 mil. Kč převedeno z r. 2019 do r. 2020)</t>
  </si>
  <si>
    <t>snížení celk. nákladů o 94 tis. Kč</t>
  </si>
  <si>
    <t>snížení celk. nákladů o 57 tis. Kč</t>
  </si>
  <si>
    <t>snížení celk. nákladů o 119 tis. Kč</t>
  </si>
  <si>
    <t>snížení celk. nákladů o 36 tis. Kč</t>
  </si>
  <si>
    <t>snížení CN o 70 tis. Kč</t>
  </si>
  <si>
    <t>snížení CN o 99 tis. Kč</t>
  </si>
  <si>
    <t>snížení CN o 2,083 mil. Kč</t>
  </si>
  <si>
    <t>snížení CN o 45 tis. Kč</t>
  </si>
  <si>
    <t>změna financování (6,538 mil. Kč převedeno z r. 2019 do r. 2020)</t>
  </si>
  <si>
    <t>změna financování (3,682 mil. Kč převedeno z r. 2019 do r. 2020)</t>
  </si>
  <si>
    <t>snížení CN o 49 tis. Kč</t>
  </si>
  <si>
    <t>snížení CN o 14 tis. Kč</t>
  </si>
  <si>
    <t>snížení CN o 86 tis. Kč</t>
  </si>
  <si>
    <t>změna financování (1,888 mil. Kč převedeno z r. 2019 do r. 2020)</t>
  </si>
  <si>
    <t>202/2020/DOP</t>
  </si>
  <si>
    <t>železniční konstrukční SW</t>
  </si>
  <si>
    <t>203/2020/DOP</t>
  </si>
  <si>
    <t>Obnova budov cestmistrovství</t>
  </si>
  <si>
    <t>204/2020/DOP</t>
  </si>
  <si>
    <t xml:space="preserve">Licence na aplikaci výkonů </t>
  </si>
  <si>
    <t>205/2020/DOP</t>
  </si>
  <si>
    <t>Zatřídění asfaltových směsí silnic II. a III. tříd</t>
  </si>
  <si>
    <t>206/2020/DOP</t>
  </si>
  <si>
    <t>Instalace a oprava svodidei u silnic II. a III.tříd</t>
  </si>
  <si>
    <t>207/2020/DOP</t>
  </si>
  <si>
    <t xml:space="preserve"> Lineární směrovací systém (BESIP)</t>
  </si>
  <si>
    <t>208/2020/DOP</t>
  </si>
  <si>
    <t>II/108 Chrást - Krupá</t>
  </si>
  <si>
    <t>209/2020/DOP</t>
  </si>
  <si>
    <t>III/33348 Kostelec n Č lesy</t>
  </si>
  <si>
    <t>210/2020/DOP</t>
  </si>
  <si>
    <t xml:space="preserve">III/1016 Stránčice - Kunice </t>
  </si>
  <si>
    <t>211/2020/DOP</t>
  </si>
  <si>
    <t>II/329 Plaňany - Radim</t>
  </si>
  <si>
    <t>212/2020/DOP</t>
  </si>
  <si>
    <t xml:space="preserve"> III/3285 Ovčáry - Býchory</t>
  </si>
  <si>
    <t>213/2020/DOP</t>
  </si>
  <si>
    <t>II/336 Buda - Čejtice</t>
  </si>
  <si>
    <t>214/2020/DOP</t>
  </si>
  <si>
    <t>II/339 Štipoklasy - Černené Janovice</t>
  </si>
  <si>
    <t>215/2020/DOP</t>
  </si>
  <si>
    <t>II/328 Sloveč - Kněžice</t>
  </si>
  <si>
    <t>216/2020/DOP</t>
  </si>
  <si>
    <t>II/201 Hrebečníky, oprava propustku</t>
  </si>
  <si>
    <t>217/2020/DOP</t>
  </si>
  <si>
    <t>III/24025 a III/24027 Žižice - Ješín</t>
  </si>
  <si>
    <t>218/2020/DOP</t>
  </si>
  <si>
    <t>III00519 Úhonice - Rudná</t>
  </si>
  <si>
    <t>219/2020/DOP</t>
  </si>
  <si>
    <t xml:space="preserve">III/10115 Dolní Břežany - propustek  </t>
  </si>
  <si>
    <t>220/2020/DOP</t>
  </si>
  <si>
    <t xml:space="preserve">II/101 Dřetovice, havárie zemního tělesa </t>
  </si>
  <si>
    <t>221/2020/DOP</t>
  </si>
  <si>
    <t>III/00719 a III/10145 Bouchalka, úprava křižovatky</t>
  </si>
  <si>
    <t>222/2020/DOP</t>
  </si>
  <si>
    <t>II/116 před obcí Karlštejn, nestabilnískalní masiv</t>
  </si>
  <si>
    <t>223/2020/DOP</t>
  </si>
  <si>
    <t>III/23639 Kvíc, odvodnění silnice</t>
  </si>
  <si>
    <t>224/2020/DOP</t>
  </si>
  <si>
    <t>Dopravní značení - omezení tranzitní dopravy</t>
  </si>
  <si>
    <t>225/2020/DOP</t>
  </si>
  <si>
    <t>III/0181 Láz</t>
  </si>
  <si>
    <t>226/2020/DOP</t>
  </si>
  <si>
    <t>III/11420 Kotenčice - Pičín</t>
  </si>
  <si>
    <t>snížení CN o 5 tis. Kč</t>
  </si>
  <si>
    <t>vybrán zhotovitel</t>
  </si>
  <si>
    <t>Snížení ceny na základě VZMR o 307 tis. Kč, změna financování - převod 1,073 mil. Kč z r. 2019 do r. 2020</t>
  </si>
  <si>
    <t>Snížení ceny o méněpráce o 82 tis. Kč</t>
  </si>
  <si>
    <t>změna financování - přesun 1,125 mil. Kč z r. 2019 do r. 2020</t>
  </si>
  <si>
    <t>změna financování - přesun 665 tis. Kč z r. 2019 do r. 2020</t>
  </si>
  <si>
    <t xml:space="preserve">Rekonstrukce a modernizace 26 sociálních zařízení včetně odpadů </t>
  </si>
  <si>
    <t>navýšení CN o 6 mil. Kč (rekonstrukce soc. zařízení bude provedena najednou a ne po etapách), změna názvu</t>
  </si>
  <si>
    <t>snížení ceny v průběhu realizace akce o 59 tis. Kč</t>
  </si>
  <si>
    <t>Snížení ceny o 174 tis. (část dodávky nebyla investicí)</t>
  </si>
  <si>
    <t>změna financování - přesun 277 tis. Kč z r. 2019 do r. 2020</t>
  </si>
  <si>
    <t>změna financování - přesun 1,611 mil. Kč z r. 2019 do r. 2020</t>
  </si>
  <si>
    <t>Rekontrukce kanalizace a vodovodu a sociálního zařízen v objektu  Gen.Eliáše 483, Kladno</t>
  </si>
  <si>
    <t>snížení CN o 10 tis. Kč</t>
  </si>
  <si>
    <t>Domov Seniorů Vojkov</t>
  </si>
  <si>
    <t>Nákup a následná rekonstrukce nemovitosti č.p. 41</t>
  </si>
  <si>
    <t>navýšení CN o 15 mil. Kč, změna financování - převod 6mil. Kč z r. 2021 do r. 2020, změna názvu</t>
  </si>
  <si>
    <t>VYBRÁN ZHOTOVITEL</t>
  </si>
  <si>
    <t>nákup nemovitosti měl být do konce roku 2019, ale kvůli právním důvodům převod 3,5 mil.  do r. 2020 - změna financování</t>
  </si>
  <si>
    <t xml:space="preserve">Rekonstrukce elektroinstalace </t>
  </si>
  <si>
    <t>Změna názvu akce,  původní akce byla z důvodu havarijního stavu topení realizována z kap. 17 v roce 2019</t>
  </si>
  <si>
    <t>snížení ceny na základě VZMR o 150 tis. Kč</t>
  </si>
  <si>
    <t>snížení ceny na základě VZMR o 143 tis. Kč</t>
  </si>
  <si>
    <t>snížení ceny na základě VZMR o 1 tis. Kč</t>
  </si>
  <si>
    <t>snížení ceny na základě VZMR o 15 tis. Kč</t>
  </si>
  <si>
    <t>126/2019/SOC</t>
  </si>
  <si>
    <t>128/2020/SOC</t>
  </si>
  <si>
    <t>Revitalizace 2.NP a 3.NP domova</t>
  </si>
  <si>
    <t>akce zřazená do zásobníku iinvestic na základě rozp. opatření č. 577/23/2019</t>
  </si>
  <si>
    <t>129/2020/SOC</t>
  </si>
  <si>
    <t>Domov u Anežky Luštěnice</t>
  </si>
  <si>
    <t>Rekonstrukce - modernizace 25 sociálních zařízení</t>
  </si>
  <si>
    <t>130/2020/SOC</t>
  </si>
  <si>
    <t>Rekonstrukce - modernizace 30 sociálních zařízení</t>
  </si>
  <si>
    <t>131/2020/SOC</t>
  </si>
  <si>
    <t>Vybudování 30 nových sociálních zařízení z umakartových jader</t>
  </si>
  <si>
    <t>změna financování - převod 1 mil. Kč z r. 2019 do r. 2020</t>
  </si>
  <si>
    <t>změna financování - převod 70 tis. Kč z r. 2019 do r. 2020</t>
  </si>
  <si>
    <t>změna financování - převod 236 tis. Kč z r. 2019 do r. 2020</t>
  </si>
  <si>
    <t>změna financování - převod 256 tis. Kč z r. 2019 do r. 2020</t>
  </si>
  <si>
    <t>změna financování - převod 1,955 mil. Kč z r. 2019 do r. 2020</t>
  </si>
  <si>
    <t>změna financování - převod 29 tis. Kč z r. 2019 do r. 2020</t>
  </si>
  <si>
    <t>036-23/2011/RK ze dne 30.05.2011 043-16/2011/ZK ze dne 6.6.2011</t>
  </si>
  <si>
    <t>změna financování - převod 742 tis. Kč z r. 2019 do r. 2020</t>
  </si>
  <si>
    <t>12/2022</t>
  </si>
  <si>
    <t>změna financování - převod 119 tis. Kč z r. 2019 do r. 2020</t>
  </si>
  <si>
    <t>změna financování - převod  61 tis. Kč z r. 2019 do r. 2020</t>
  </si>
  <si>
    <t>akce ukončena, snížení celkových nákladů na akci o 7 tis. Kč</t>
  </si>
  <si>
    <t>změna financování - převod 1,5 mil. Kč z r. 2019 do r. 2020</t>
  </si>
  <si>
    <t>vyhotovena PD - aktualizace PD,  změna financování - převod 3,25 mil. Kč z r. 2019 do r. 2020</t>
  </si>
  <si>
    <t xml:space="preserve"> změna financování - převod 4 tis. Kč z r. 2019 do r. 2020,   vyhotovena studie</t>
  </si>
  <si>
    <t>změna financování - převod  294 tis. Kč z r. 2019 do r. 2020</t>
  </si>
  <si>
    <t>změna financování - převod  54 tis. Kč z r. 2019 do r. 2020</t>
  </si>
  <si>
    <t>změna financování - převod  35 tis. Kč z r. 2019 do r. 2020</t>
  </si>
  <si>
    <t>změna financování - převod  700 tis. Kč z r. 2019 do r. 2020</t>
  </si>
  <si>
    <t>změna financování - převod  167 tis. Kč z r. 2019 do r. 2020</t>
  </si>
  <si>
    <t>změna financování - převod  900 tis. Kč z r. 2019 do r. 2020</t>
  </si>
  <si>
    <t>ukončená akce</t>
  </si>
  <si>
    <t>0005879</t>
  </si>
  <si>
    <t>změna financování - převod  1,22 mil. Kč z r. 2019 do r. 2020</t>
  </si>
  <si>
    <t>0005880</t>
  </si>
  <si>
    <t>0005783</t>
  </si>
  <si>
    <t>změna financování - převod  1 mil. Kč z r. 2019 do r. 2020</t>
  </si>
  <si>
    <t>0006008</t>
  </si>
  <si>
    <t>změna financování - převod 967 tis. Kč z r. 2019 do r. 2020</t>
  </si>
  <si>
    <t>změna financování - převod 516 tis. Kč z r. 2019 do r. 2020</t>
  </si>
  <si>
    <t>změna financování - převod 250 tis. Kč z r. 2019 do r. 2020</t>
  </si>
  <si>
    <t>změna financování - převod 4,958 mil. Kč z r. 2019 do r. 2020</t>
  </si>
  <si>
    <t>vyhotovena PD, změna financování - převod 469 tis. Kč z r. 2019 do r. 2020</t>
  </si>
  <si>
    <t>změna financování - převod 200 tis. Kč z r. 2019 do r. 2020</t>
  </si>
  <si>
    <t>změna financování - převod 22 tis. Kč z r. 2019 do r. 2020</t>
  </si>
  <si>
    <t>vyhotovena PD, změna financování - převod 179 tis. Kč z r. 2019 do r. 2020</t>
  </si>
  <si>
    <t>změna financování - převod 72 tis. Kč z r. 2019 do r. 2020</t>
  </si>
  <si>
    <t>12/2019 zahájena realizace, změna financování (převod 1,86 mil. Kč z r. 2019 do r. 2020)</t>
  </si>
  <si>
    <t>změna financování - převod 2 mil. Kč z r. 2019 do r. 2020.  Kolaudace v cca 1. kvartálu 2020</t>
  </si>
  <si>
    <t>snížení CN o 173 tis. Kč</t>
  </si>
  <si>
    <t>snížení CN o 463 tis. Kč</t>
  </si>
  <si>
    <t>snížení CN o 8 tis. Kč</t>
  </si>
  <si>
    <t>Pozastaveno
                                       12/2019                                                                                                                                                                                                                                                                                                                                                                                                                                                                                                                                            12/2019</t>
  </si>
  <si>
    <t>NE
ANO
ANO</t>
  </si>
  <si>
    <t xml:space="preserve">Podepsán dodatek č. 1 ke Smlouvě o dílo s vybraným zhotovitelem, upravující navýšení celkových nákladů a posun dokončení termínu plnění do 10.2.2020.  </t>
  </si>
  <si>
    <t xml:space="preserve">snížení CN o 389 tis. Kč </t>
  </si>
  <si>
    <t>Čerpáno 1.1.-31.12. 2019</t>
  </si>
  <si>
    <t>navýšení CN o 720 tis. Kč, UKONČENO, zádržné ve výši 720 782,25 Kč bude vyplaceno po 13.9.2023</t>
  </si>
  <si>
    <t>9/2023</t>
  </si>
  <si>
    <t>změna financování - převod 268 tis. Kč z r.2019 do r. 2020.   PDPS připravená, stavební povolení platné do 22.12.2020</t>
  </si>
  <si>
    <t xml:space="preserve">změna financování - převod 12,229 mil. Kč z r.2019 do r. 2020.  </t>
  </si>
  <si>
    <t>Hotová PD</t>
  </si>
  <si>
    <t>změna způsobu financování - snížení vlastních prostředků PO o 317 tis. Kč (+ o to navýšení kapitál. prostředků z kap. 12)</t>
  </si>
  <si>
    <t>změna financování - převod 369 tis. Kč z r.2020 do r. 2021.  Vyhlášeno VŘ na PD</t>
  </si>
  <si>
    <t>snížení celkových nákladů o 255 tis. Kč</t>
  </si>
  <si>
    <t>dodání i proplacení PD v 1.Q 2020, navýšení celkových nákladů o 1,248 mil. Kč, změna financování - převod 150 tis. Kč z r. 2019 do r. 2020</t>
  </si>
  <si>
    <t>snížení celkových nákladů o 216 tis. Kč, změna způsobu financování (nepoužití "Jiných zdrojů-vlastních prostředků PO" ve výši 200 tis. Kč)</t>
  </si>
  <si>
    <t>změna financování - převod 258 tis. Kč z r. 2021 do r. 2020.   smlouva na PD ano</t>
  </si>
  <si>
    <t>snížení celkových nákladů o 223 tis. Kč</t>
  </si>
  <si>
    <t>snížení celkových nákladů o 212 tis. Kč</t>
  </si>
  <si>
    <t>Projektová dokumentace</t>
  </si>
  <si>
    <t>snížení celkových nákladů o 58 tis. Kč</t>
  </si>
  <si>
    <t>snížení CN o 152 tis. Kč</t>
  </si>
  <si>
    <t>0005961</t>
  </si>
  <si>
    <t xml:space="preserve"> snížení celkových nákladů akce o 14 tis. Kč</t>
  </si>
  <si>
    <t>akce ukončena, snížení celkových nákladů akce o 235 tis. Kč</t>
  </si>
  <si>
    <t>hotová PD pro výběr dodavatele</t>
  </si>
  <si>
    <t>akce ukončena, snížení celkových nákladů akce o 1 tis. Kč</t>
  </si>
  <si>
    <t>změna financování - převod 350 tis. Kč z r.2019 do r. 2020  (První VŘ neúspěšné, škola provádí druhé VŘ)</t>
  </si>
  <si>
    <t>snížení CN o 13 tis. Kč</t>
  </si>
  <si>
    <t>snížení CN o 1 tis.Kč</t>
  </si>
  <si>
    <t>Fotbalové klece</t>
  </si>
  <si>
    <t>snížení CN o 50 tis. Kč</t>
  </si>
  <si>
    <t>0005960</t>
  </si>
  <si>
    <t>snížení CN o 22 tis. Kč</t>
  </si>
  <si>
    <t>Školní statek Středočeského kraje, příspěvková organizace - středisko Mělník</t>
  </si>
  <si>
    <t>0005958</t>
  </si>
  <si>
    <t>Dokončení zateplení a výměna oken budova "C", OV, Tehov</t>
  </si>
  <si>
    <t>snížení CN o 2 tis. Kč</t>
  </si>
  <si>
    <t>0005935</t>
  </si>
  <si>
    <t>142/2020/SKOL</t>
  </si>
  <si>
    <t>143/2020/SKOL</t>
  </si>
  <si>
    <t>Rekultivace hřiště</t>
  </si>
  <si>
    <t>Předpoklad v roce   2021</t>
  </si>
  <si>
    <t>změna financování - převod 299 tis. z r.2020 a 2021 do r. 2019 a 201 tis. Kč z r.2021 do r.2020</t>
  </si>
  <si>
    <t>snížení CN o 17 tis. Kč</t>
  </si>
  <si>
    <t>výběr nového zhotovitele, navýšení  cekových nákladů o 467 tis. Kč (úprava PD), změna financování - převod 8,343 mil. Kč z r. 2019 do r. 2020</t>
  </si>
  <si>
    <t>změna financování - převod 8,9 mil. Kč z r. 2019 do r. 2020</t>
  </si>
  <si>
    <t>změna financování - převod 4,008 mil. Kč z r. 2019 do r. 2020</t>
  </si>
  <si>
    <t>změna financování (6,872 mil. Kč převedeno z r. 2019 do r. 2020)</t>
  </si>
  <si>
    <t>změna financování (7,713 mil. Kč převedeno z r. 2019 do r. 2020)</t>
  </si>
  <si>
    <t>snížení CN o 108 tis. Kč</t>
  </si>
  <si>
    <t>042-33/2019/RK ze dne 31.10.2019    139-21/2019/ZK ze dne 25.11.2019</t>
  </si>
  <si>
    <t>snížení CN o 162,34 tis. Kč</t>
  </si>
  <si>
    <t>snížení CN o 393 Kč</t>
  </si>
  <si>
    <t>0005934</t>
  </si>
  <si>
    <t>změna financování - přesun z r. 2022 do 2020</t>
  </si>
  <si>
    <t>Rekonstrukce suterénu na tělocvičnu</t>
  </si>
  <si>
    <t>Schválený rozpočet 2020 (usn. č. 008-21/2019/ZK ze dne 25.11.2019)</t>
  </si>
  <si>
    <t>snížení CN o 140 tis. Kč</t>
  </si>
  <si>
    <t xml:space="preserve">PD hotová, VŘ na zhotovitele předáno na OKI.  Změna financování - převod 160 tis. Kč z r.2019 do r. 2020.  </t>
  </si>
  <si>
    <t>snížení CN o 303 tis. Kč</t>
  </si>
  <si>
    <r>
      <t xml:space="preserve">CELKEM </t>
    </r>
    <r>
      <rPr>
        <b/>
        <sz val="10"/>
        <rFont val="Arial"/>
        <family val="2"/>
        <charset val="238"/>
      </rPr>
      <t>(včetně odloženého financování)</t>
    </r>
  </si>
  <si>
    <t>Kapitálové prostředky  (před změnou č. 1)</t>
  </si>
  <si>
    <t>Kapitálové prostředky  (po změně  č. 1)</t>
  </si>
  <si>
    <t>limit čerpání kap. prostředků pro rok 2020 vyplývající ze schváleného rozpočtu na rok 2020 - 10 mil. Kč</t>
  </si>
  <si>
    <t>limit čerpání kap. prostředků pro rok 2020 vyplývající ze schváleného rozpočtu na rok 2020 - 30 mil. Kč</t>
  </si>
  <si>
    <t>změna financování - převod  74 tis.Kč z r. 2019 do r. 2020</t>
  </si>
  <si>
    <t>Zvýšení CN o 259 tis. Kč (přeložka inž. sítí), stavebně ukončeno</t>
  </si>
  <si>
    <t>0006044</t>
  </si>
  <si>
    <t>změna financování (převod 159 tis. Kč z r. 2019 do r. 2020), zvýšení CN o 41,855 mil. Kč (započtení budoucích období)</t>
  </si>
  <si>
    <t>0004856</t>
  </si>
  <si>
    <t>změna financování - převod 6,171 mil. Kč z r. 2019 do r. 2020</t>
  </si>
  <si>
    <t>změna financování - převod 4,705 mil. Kč z r. 2019 do r. 2020</t>
  </si>
  <si>
    <t>změna financování - převod 789 tis. Kč z r. 2019 do r. 2020</t>
  </si>
  <si>
    <t>0004770</t>
  </si>
  <si>
    <t>změna financování, převod 695 tis. Kč z r. 2019 do r. 2020</t>
  </si>
  <si>
    <t>0005948</t>
  </si>
  <si>
    <t>změna financování - převod 268 tis. Kč z r. 2019 do r. 2020</t>
  </si>
  <si>
    <t>0005949</t>
  </si>
  <si>
    <t>změna financování - převod 270 tis. Kč z r. 2019 do r. 2020</t>
  </si>
  <si>
    <t>0005950</t>
  </si>
  <si>
    <t>změna financování - převod 192 tis. Kč z r. 2019 do r. 2020</t>
  </si>
  <si>
    <t>0005975</t>
  </si>
  <si>
    <t>0005977</t>
  </si>
  <si>
    <t>0005978</t>
  </si>
  <si>
    <t>Navýšení CN o 670 tis. Kč (o DPH)</t>
  </si>
  <si>
    <t>0005979</t>
  </si>
  <si>
    <t>Navýšení CN o 246 tis. Kč (o DPH)</t>
  </si>
  <si>
    <t>Navýšení CN o 180 tis. Kč (o DPH)</t>
  </si>
  <si>
    <t>0004844</t>
  </si>
  <si>
    <t>Navýšení CN o 657 tis. Kč (o DPH), údržba DIO do 4/2021 (stavebně dokončeno)</t>
  </si>
  <si>
    <t>0005982</t>
  </si>
  <si>
    <t>Navýšení CN o 949 tis. Kč (o DPH)</t>
  </si>
  <si>
    <t>Navýšení o 80 tis. Kč (o DPH), změna financování (1,083 mil. Kč převedeno z r. 2019 do r. 2020)</t>
  </si>
  <si>
    <t>Navýšení o 1,166 mil. Kč (o DPH)</t>
  </si>
  <si>
    <t>0005912</t>
  </si>
  <si>
    <t>Navýšení o 799 tis. Kč (o DPH), změna financování (32 tis. Kč převedeno z r. 2019 do r. 2020)</t>
  </si>
  <si>
    <t>0005932</t>
  </si>
  <si>
    <t>0005890</t>
  </si>
  <si>
    <t>změna financování (600 tis. Kč převedeno z r. 2019 do r. 2020)</t>
  </si>
  <si>
    <t>0005987</t>
  </si>
  <si>
    <t>snížení CN o 32 tis. Kč</t>
  </si>
  <si>
    <t>0005990</t>
  </si>
  <si>
    <t>snížení CN o 79 tis. Kč</t>
  </si>
  <si>
    <t>0005992</t>
  </si>
  <si>
    <t>0005993</t>
  </si>
  <si>
    <t>0005996</t>
  </si>
  <si>
    <t>0006000</t>
  </si>
  <si>
    <t>0006002</t>
  </si>
  <si>
    <t>změna financování (43 tis. Kč převedeno z r. 2019 do r. 2020)</t>
  </si>
  <si>
    <t>0006006</t>
  </si>
  <si>
    <t>snížení CN o 335 tis. Kč</t>
  </si>
  <si>
    <t>0005944</t>
  </si>
  <si>
    <t>navýšení CN o 540 tis. Kč - nutná změna zjištěná při realizaci,  změna financování - převod 538 tis. Kč z r. 2019 do r. 2020</t>
  </si>
  <si>
    <t>0005956</t>
  </si>
  <si>
    <t>snížení CN o 210 tis. Kč</t>
  </si>
  <si>
    <t>limit čerpání kap. prostředků pro rok 2020 vyplývající ze schváleného rozpočtu na rok 2020 - 205 mil. Kč</t>
  </si>
  <si>
    <t>0005916</t>
  </si>
  <si>
    <t>limit čerpání kap. prostředků pro rok 2020 vyplývající ze schváleného rozpočtu na rok 2020 - 80 mil. Kč</t>
  </si>
  <si>
    <t>snížení celkových nákladů o 4 tis. Kč</t>
  </si>
  <si>
    <t>změna financování - převod 2,203 mil. Kč z r. 2019 do r. 2021</t>
  </si>
  <si>
    <t>změna financování - převod  39 tis. Kč z r. 2019 do r. 2020</t>
  </si>
  <si>
    <t>snížení celkových nákladů o 6 tis. Kč</t>
  </si>
  <si>
    <t>změna financování - převod  2 tis. Kč z r. 2019 do r. 2020</t>
  </si>
  <si>
    <t>snížení celkových nákladů o 20 tis. Kč</t>
  </si>
  <si>
    <t>snížení celkových nákladů na akci o 149 tis. Kč</t>
  </si>
  <si>
    <t>změna financování - převod  1,309 mil. Kč z r. 2019 do r. 2020</t>
  </si>
  <si>
    <t>snížení celkových nákladů na akci o 46 tis. Kč</t>
  </si>
  <si>
    <t>limit čerpání kap. prostředků pro rok 2020 vyplývající ze schváleného rozpočtu na rok 2020 - 50 mil. Kč</t>
  </si>
  <si>
    <r>
      <rPr>
        <b/>
        <sz val="12"/>
        <rFont val="Arial"/>
        <family val="2"/>
        <charset val="238"/>
      </rPr>
      <t xml:space="preserve">ODLOŽENÉ FINANCOVÁNÍ </t>
    </r>
    <r>
      <rPr>
        <sz val="10"/>
        <rFont val="Arial"/>
        <family val="2"/>
        <charset val="238"/>
      </rPr>
      <t>29 mil. Kč - od r. 2021 dále.   Změna financování - převod 1,36 mil. Kč z r. 2019 do r. 2020     Část 1 - Rekonstrukce Generelu C2 
Část 2 - Probíhá pouze příprava projektové dokumentace k přesunům jednotlivých oddělení v rámci nemocničního traktu. Akce je omezena na objem 2 mil. Kč z vlastních zdrojů. 
Část 3 - Kapitálové prostředky ve výši 3,5 mil. Kč pro rok 2019 se týkají Investičního záměru - Oddělení šestinedělí modernizace oddělení. Probíhá realizace.</t>
    </r>
  </si>
  <si>
    <r>
      <t>Původní</t>
    </r>
    <r>
      <rPr>
        <strike/>
        <sz val="16"/>
        <rFont val="Arial"/>
        <family val="2"/>
        <charset val="238"/>
      </rPr>
      <t xml:space="preserve"> </t>
    </r>
    <r>
      <rPr>
        <b/>
        <strike/>
        <sz val="12"/>
        <rFont val="Arial"/>
        <family val="2"/>
        <charset val="238"/>
      </rPr>
      <t xml:space="preserve">ODLOŽENÉ FINANCOVÁNÍ </t>
    </r>
    <r>
      <rPr>
        <strike/>
        <sz val="10"/>
        <rFont val="Arial"/>
        <family val="2"/>
        <charset val="238"/>
      </rPr>
      <t xml:space="preserve">3 mil. Kč  v letech 2019-2020. Realizace ukončena. </t>
    </r>
    <r>
      <rPr>
        <i/>
        <strike/>
        <sz val="10"/>
        <rFont val="Arial"/>
        <family val="2"/>
        <charset val="238"/>
      </rPr>
      <t xml:space="preserve">
</t>
    </r>
  </si>
  <si>
    <r>
      <rPr>
        <b/>
        <strike/>
        <sz val="12"/>
        <rFont val="Arial"/>
        <family val="2"/>
        <charset val="238"/>
      </rPr>
      <t>ODLOŽENÉ FINANCOVÁNÍ</t>
    </r>
    <r>
      <rPr>
        <b/>
        <strike/>
        <sz val="16"/>
        <rFont val="Arial"/>
        <family val="2"/>
        <charset val="238"/>
      </rPr>
      <t xml:space="preserve"> </t>
    </r>
    <r>
      <rPr>
        <strike/>
        <sz val="10"/>
        <rFont val="Arial"/>
        <family val="2"/>
        <charset val="238"/>
      </rPr>
      <t>36 mil. Kč v r. 2019</t>
    </r>
  </si>
  <si>
    <t xml:space="preserve">Smlouva o dílo se zhotovitelem akce vybraným na základě výběrového řízení na dodávky. Akce fyzicky dokončena.                                                                                                                   </t>
  </si>
  <si>
    <t>limit čerpání kap. prostředků pro rok 2020 vyplývající ze schváleného rozpočtu na rok 2020 - 220 mil. Kč</t>
  </si>
  <si>
    <t>limit čerpání kap. prostředků pro rok 2020 vyplývající ze schváleného rozpočtu na rok 2020 - 6 mil. Kč</t>
  </si>
  <si>
    <t>limit čerpání kap. prostředků pro rok 2020 vyplývající ze schváleného rozpočtu na rok 2020 - 1 mil. Kč</t>
  </si>
  <si>
    <t>limit čerpání kap. prostředků pro rok 2020 vyplývající ze schváleného rozpočtu na rok 2020 - 8 mil. Kč</t>
  </si>
  <si>
    <t>změna financování - převod 118 tis. z r. 2019 do r. 2020</t>
  </si>
  <si>
    <t>Změna PD, nově vyhlášeno VZMR, změna financování - přesun 522 tis. Kč z r. 2019 do r. 2020</t>
  </si>
  <si>
    <t>0006028</t>
  </si>
  <si>
    <t xml:space="preserve"> Zahájení stavby 15. 11. 2019, změna financování-přesun čerpání z r.2019 do r.2020 (5,101 mil. Kč) - vícepráce - upřesnění PD</t>
  </si>
  <si>
    <t>0006029</t>
  </si>
  <si>
    <t>0006034</t>
  </si>
  <si>
    <t>změna financování - přesun 226 tis. Kč z r. 2019 do r. 2020</t>
  </si>
  <si>
    <t>0006035</t>
  </si>
  <si>
    <t>změna financování - přesun 15 tis. Kč z r. 2019 do r. 2020</t>
  </si>
  <si>
    <t>limit čerpání kap. prostředků pro rok 2020 vyplývající ze schváleného rozpočtu na rok 2020 - 70 mil. Kč</t>
  </si>
  <si>
    <t>limit čerpání kap. prostředků pro rok 2020 vyplývající ze schváleného rozpočtu na rok 2020 - 700 mil. Kč</t>
  </si>
  <si>
    <t>Finanční zdroje r. 2020</t>
  </si>
  <si>
    <t>v mil. Kč</t>
  </si>
  <si>
    <t xml:space="preserve">Nevyčerpané účelové finanční prostředky z r. 2019 - kap.12 - Investiční výdaje </t>
  </si>
  <si>
    <t>změna financování - převod 800 tis. Kč z r. 2019 do r. 2020</t>
  </si>
  <si>
    <t xml:space="preserve"> převod do ZP</t>
  </si>
  <si>
    <t>převod do ZP</t>
  </si>
  <si>
    <t>Jiné financování akce)</t>
  </si>
  <si>
    <t>zvýšení ceny o 175 tis. Kč na základě VZMR - hrazeno z vl. zdrojů PO (změna způsobu financování)</t>
  </si>
  <si>
    <t>Vytvoření nového intranetu Krajského úřadu Středočeského kraje.         Změna financování (převod 2 mil. Kč z r.2020 do r.2021)</t>
  </si>
  <si>
    <t>Kapitálové prostředky r.2019 (po změně č. 5) vč. odlož. financování</t>
  </si>
  <si>
    <t>změna financování - převod  88,111 mil. Kč z r. 2019 a 20,889 mil. z r.2020  do r. 2021</t>
  </si>
  <si>
    <t>předpoklad platby přeložek inž. sítí, změna financování - převod 43,772 mil. Kč z r. 2019 a 6,228 mil. Kč z r.2020  do r. 2021</t>
  </si>
  <si>
    <t>změna financování - převod 263 tis. Kč z r. 2019 do r. 2020 (nesouhlasy vlastníků pozemků)</t>
  </si>
  <si>
    <t>změna financování - převod 2,481 mil. Kč z r. 2019 do r. 2020</t>
  </si>
  <si>
    <t>změna financování (převod 493 tis.Kč z r. 2019 do r. 2020)</t>
  </si>
  <si>
    <t>Zvýšení celkových nákladů o 32 tis. Kč, změna financování (přesun 28 tis. Kč z r. 2019 do r. 2020)</t>
  </si>
  <si>
    <t>navýšení CN o 1,641 mil. Kč (změna projektu z důvodu BESIP), změna financování - převod1,337 mil. Kč z r. 2019 do r. 2020</t>
  </si>
  <si>
    <t>zahájení stavby 12/2019, navýšení CN o 357 tis. Kč (o DPH),  změna financování - převod 2,373 mil. Kč z r. 2019 do r. 2020</t>
  </si>
  <si>
    <t>změna financování (4,936 mil. Kč převedeno z r. 2019 do r. 2020) Navýšení CN o 970 tis. Kč</t>
  </si>
  <si>
    <t>Změna financování - převod  256 tis. Kč z r. 2019 do r. 2020.   Zbývající částka ale nebude čerpána. Zakázka nebyla 6.akciovou společností vysoutěžena.</t>
  </si>
  <si>
    <t>Probíhají výběrové řízení a realizace zakázek. Změna financování - převod 789 tis. Kč z r. 2019 do r. 2020</t>
  </si>
  <si>
    <t>změna financování - převod 3,455 mil. Kč z r. 2019 do r. 2020</t>
  </si>
  <si>
    <t>změna financování, převod 5 mil. Kč z r. 2020 do r. 2021</t>
  </si>
  <si>
    <t>048-24/2019/RK ze dne  29.7.2019 088-20/2019/ZK ze dne 26.8.2019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</si>
</sst>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\ _K_č_-;\-* #,##0.00\ _K_č_-;_-* &quot;-&quot;??\ _K_č_-;_-@_-"/>
    <numFmt numFmtId="164" formatCode="#,##0.0000000"/>
    <numFmt numFmtId="165" formatCode="#,##0.00000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trike/>
      <sz val="10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0"/>
      <color rgb="FF0000FB"/>
      <name val="Arial"/>
      <family val="2"/>
      <charset val="238"/>
    </font>
    <font>
      <sz val="10"/>
      <color rgb="FF0000FB"/>
      <name val="Arial"/>
      <family val="2"/>
      <charset val="238"/>
    </font>
    <font>
      <b/>
      <sz val="10"/>
      <color rgb="FF0000FB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name val="Arial"/>
      <family val="2"/>
      <charset val="238"/>
    </font>
    <font>
      <sz val="10"/>
      <name val="Arial CE"/>
      <charset val="238"/>
    </font>
    <font>
      <sz val="22"/>
      <name val="Arial"/>
      <family val="2"/>
      <charset val="238"/>
    </font>
    <font>
      <strike/>
      <sz val="12"/>
      <name val="Arial"/>
      <family val="2"/>
      <charset val="238"/>
    </font>
    <font>
      <b/>
      <strike/>
      <sz val="10"/>
      <color rgb="FF0000FB"/>
      <name val="Arial"/>
      <family val="2"/>
      <charset val="238"/>
    </font>
    <font>
      <strike/>
      <sz val="10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b/>
      <strike/>
      <sz val="12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rgb="FFFF0000"/>
      <name val="Calibri"/>
      <family val="2"/>
      <scheme val="minor"/>
    </font>
    <font>
      <sz val="11"/>
      <color rgb="FF0000FB"/>
      <name val="Calibri"/>
      <family val="2"/>
      <scheme val="minor"/>
    </font>
    <font>
      <strike/>
      <sz val="11"/>
      <color rgb="FF0000FB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trike/>
      <sz val="12"/>
      <color rgb="FF0000FB"/>
      <name val="Arial"/>
      <family val="2"/>
      <charset val="238"/>
    </font>
    <font>
      <sz val="11"/>
      <name val="Calibri"/>
      <family val="2"/>
      <scheme val="minor"/>
    </font>
    <font>
      <sz val="12"/>
      <color rgb="FFFF0000"/>
      <name val="Arial"/>
      <family val="2"/>
      <charset val="238"/>
    </font>
    <font>
      <sz val="12"/>
      <color rgb="FF0000FB"/>
      <name val="Arial"/>
      <family val="2"/>
      <charset val="238"/>
    </font>
    <font>
      <strike/>
      <sz val="12"/>
      <color rgb="FFFF0000"/>
      <name val="Arial"/>
      <family val="2"/>
      <charset val="238"/>
    </font>
    <font>
      <i/>
      <strike/>
      <sz val="10"/>
      <name val="Arial"/>
      <family val="2"/>
      <charset val="238"/>
    </font>
    <font>
      <strike/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trike/>
      <sz val="16"/>
      <name val="Arial"/>
      <family val="2"/>
      <charset val="238"/>
    </font>
    <font>
      <b/>
      <strike/>
      <sz val="16"/>
      <name val="Arial"/>
      <family val="2"/>
      <charset val="238"/>
    </font>
    <font>
      <b/>
      <sz val="22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rgb="FFCAE8AA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theme="4"/>
      </top>
      <bottom style="thin">
        <color theme="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7" fillId="0" borderId="0"/>
    <xf numFmtId="0" fontId="4" fillId="0" borderId="0"/>
    <xf numFmtId="0" fontId="4" fillId="0" borderId="0"/>
    <xf numFmtId="0" fontId="2" fillId="0" borderId="0"/>
    <xf numFmtId="0" fontId="4" fillId="0" borderId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29" fillId="0" borderId="0"/>
  </cellStyleXfs>
  <cellXfs count="1917">
    <xf numFmtId="0" fontId="0" fillId="0" borderId="0" xfId="0"/>
    <xf numFmtId="3" fontId="6" fillId="0" borderId="23" xfId="1" applyNumberFormat="1" applyFont="1" applyFill="1" applyBorder="1" applyAlignment="1">
      <alignment vertical="center" wrapText="1"/>
    </xf>
    <xf numFmtId="3" fontId="4" fillId="0" borderId="24" xfId="0" applyNumberFormat="1" applyFont="1" applyFill="1" applyBorder="1" applyAlignment="1">
      <alignment vertical="center" wrapText="1"/>
    </xf>
    <xf numFmtId="3" fontId="4" fillId="0" borderId="23" xfId="0" applyNumberFormat="1" applyFont="1" applyFill="1" applyBorder="1" applyAlignment="1">
      <alignment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3" fontId="6" fillId="0" borderId="22" xfId="1" applyNumberFormat="1" applyFont="1" applyFill="1" applyBorder="1" applyAlignment="1">
      <alignment vertical="center" wrapText="1"/>
    </xf>
    <xf numFmtId="3" fontId="4" fillId="0" borderId="14" xfId="0" applyNumberFormat="1" applyFont="1" applyFill="1" applyBorder="1" applyAlignment="1">
      <alignment vertical="center" wrapText="1"/>
    </xf>
    <xf numFmtId="3" fontId="4" fillId="0" borderId="16" xfId="0" applyNumberFormat="1" applyFont="1" applyFill="1" applyBorder="1" applyAlignment="1">
      <alignment vertical="center" wrapText="1"/>
    </xf>
    <xf numFmtId="0" fontId="4" fillId="0" borderId="22" xfId="0" applyFont="1" applyFill="1" applyBorder="1" applyAlignment="1">
      <alignment horizontal="center" vertical="center" wrapText="1"/>
    </xf>
    <xf numFmtId="3" fontId="6" fillId="0" borderId="32" xfId="1" applyNumberFormat="1" applyFont="1" applyFill="1" applyBorder="1" applyAlignment="1">
      <alignment vertical="center" wrapText="1"/>
    </xf>
    <xf numFmtId="3" fontId="6" fillId="0" borderId="31" xfId="1" applyNumberFormat="1" applyFont="1" applyFill="1" applyBorder="1" applyAlignment="1">
      <alignment vertical="center" wrapText="1"/>
    </xf>
    <xf numFmtId="3" fontId="4" fillId="0" borderId="9" xfId="0" applyNumberFormat="1" applyFont="1" applyFill="1" applyBorder="1" applyAlignment="1">
      <alignment vertical="center" wrapText="1"/>
    </xf>
    <xf numFmtId="3" fontId="4" fillId="0" borderId="2" xfId="0" applyNumberFormat="1" applyFont="1" applyFill="1" applyBorder="1" applyAlignment="1">
      <alignment vertical="center" wrapText="1"/>
    </xf>
    <xf numFmtId="3" fontId="6" fillId="0" borderId="26" xfId="1" applyNumberFormat="1" applyFont="1" applyFill="1" applyBorder="1" applyAlignment="1">
      <alignment vertical="center" wrapText="1"/>
    </xf>
    <xf numFmtId="3" fontId="4" fillId="0" borderId="32" xfId="0" applyNumberFormat="1" applyFont="1" applyFill="1" applyBorder="1" applyAlignment="1">
      <alignment vertical="center" wrapText="1"/>
    </xf>
    <xf numFmtId="3" fontId="4" fillId="0" borderId="26" xfId="0" applyNumberFormat="1" applyFont="1" applyFill="1" applyBorder="1" applyAlignment="1">
      <alignment vertical="center" wrapText="1"/>
    </xf>
    <xf numFmtId="3" fontId="10" fillId="0" borderId="35" xfId="0" applyNumberFormat="1" applyFont="1" applyFill="1" applyBorder="1" applyAlignment="1">
      <alignment vertical="center" wrapText="1"/>
    </xf>
    <xf numFmtId="3" fontId="10" fillId="0" borderId="33" xfId="0" applyNumberFormat="1" applyFont="1" applyFill="1" applyBorder="1" applyAlignment="1">
      <alignment vertical="center" wrapText="1"/>
    </xf>
    <xf numFmtId="3" fontId="11" fillId="0" borderId="26" xfId="1" applyNumberFormat="1" applyFont="1" applyFill="1" applyBorder="1" applyAlignment="1">
      <alignment vertical="center" wrapText="1"/>
    </xf>
    <xf numFmtId="3" fontId="10" fillId="0" borderId="32" xfId="0" applyNumberFormat="1" applyFont="1" applyFill="1" applyBorder="1" applyAlignment="1">
      <alignment vertical="center" wrapText="1"/>
    </xf>
    <xf numFmtId="3" fontId="10" fillId="0" borderId="26" xfId="0" applyNumberFormat="1" applyFont="1" applyFill="1" applyBorder="1" applyAlignment="1">
      <alignment vertical="center" wrapText="1"/>
    </xf>
    <xf numFmtId="3" fontId="6" fillId="0" borderId="33" xfId="1" applyNumberFormat="1" applyFont="1" applyFill="1" applyBorder="1" applyAlignment="1">
      <alignment vertical="center" wrapText="1"/>
    </xf>
    <xf numFmtId="3" fontId="4" fillId="0" borderId="35" xfId="0" applyNumberFormat="1" applyFont="1" applyFill="1" applyBorder="1" applyAlignment="1">
      <alignment vertical="center" wrapText="1"/>
    </xf>
    <xf numFmtId="3" fontId="4" fillId="0" borderId="33" xfId="0" applyNumberFormat="1" applyFont="1" applyFill="1" applyBorder="1" applyAlignment="1">
      <alignment vertical="center" wrapText="1"/>
    </xf>
    <xf numFmtId="3" fontId="4" fillId="0" borderId="27" xfId="0" applyNumberFormat="1" applyFont="1" applyFill="1" applyBorder="1" applyAlignment="1">
      <alignment vertical="center" wrapText="1"/>
    </xf>
    <xf numFmtId="3" fontId="4" fillId="0" borderId="39" xfId="0" applyNumberFormat="1" applyFont="1" applyFill="1" applyBorder="1" applyAlignment="1">
      <alignment vertical="center" wrapText="1"/>
    </xf>
    <xf numFmtId="3" fontId="4" fillId="0" borderId="37" xfId="0" applyNumberFormat="1" applyFont="1" applyFill="1" applyBorder="1" applyAlignment="1">
      <alignment vertical="center" wrapText="1"/>
    </xf>
    <xf numFmtId="3" fontId="4" fillId="0" borderId="34" xfId="0" applyNumberFormat="1" applyFont="1" applyFill="1" applyBorder="1" applyAlignment="1">
      <alignment vertical="center" wrapText="1"/>
    </xf>
    <xf numFmtId="3" fontId="4" fillId="0" borderId="26" xfId="0" applyNumberFormat="1" applyFont="1" applyFill="1" applyBorder="1" applyAlignment="1">
      <alignment vertical="center"/>
    </xf>
    <xf numFmtId="3" fontId="4" fillId="0" borderId="32" xfId="0" applyNumberFormat="1" applyFont="1" applyFill="1" applyBorder="1" applyAlignment="1">
      <alignment vertical="center"/>
    </xf>
    <xf numFmtId="3" fontId="4" fillId="0" borderId="23" xfId="0" applyNumberFormat="1" applyFont="1" applyFill="1" applyBorder="1" applyAlignment="1">
      <alignment vertical="center"/>
    </xf>
    <xf numFmtId="3" fontId="4" fillId="0" borderId="31" xfId="0" applyNumberFormat="1" applyFont="1" applyFill="1" applyBorder="1" applyAlignment="1">
      <alignment vertical="center" wrapText="1"/>
    </xf>
    <xf numFmtId="3" fontId="10" fillId="0" borderId="31" xfId="0" applyNumberFormat="1" applyFont="1" applyFill="1" applyBorder="1" applyAlignment="1">
      <alignment vertical="center" wrapText="1"/>
    </xf>
    <xf numFmtId="3" fontId="10" fillId="0" borderId="32" xfId="0" applyNumberFormat="1" applyFont="1" applyFill="1" applyBorder="1" applyAlignment="1">
      <alignment horizontal="center" vertical="center" wrapText="1"/>
    </xf>
    <xf numFmtId="3" fontId="11" fillId="0" borderId="33" xfId="1" applyNumberFormat="1" applyFont="1" applyFill="1" applyBorder="1" applyAlignment="1">
      <alignment vertical="center" wrapText="1"/>
    </xf>
    <xf numFmtId="3" fontId="10" fillId="0" borderId="34" xfId="0" applyNumberFormat="1" applyFont="1" applyFill="1" applyBorder="1" applyAlignment="1">
      <alignment vertical="center" wrapText="1"/>
    </xf>
    <xf numFmtId="3" fontId="10" fillId="0" borderId="37" xfId="0" applyNumberFormat="1" applyFont="1" applyFill="1" applyBorder="1" applyAlignment="1">
      <alignment vertical="center" wrapText="1"/>
    </xf>
    <xf numFmtId="3" fontId="10" fillId="0" borderId="23" xfId="0" applyNumberFormat="1" applyFont="1" applyFill="1" applyBorder="1" applyAlignment="1">
      <alignment vertical="center" wrapText="1"/>
    </xf>
    <xf numFmtId="3" fontId="10" fillId="0" borderId="24" xfId="0" applyNumberFormat="1" applyFont="1" applyFill="1" applyBorder="1" applyAlignment="1">
      <alignment vertical="center" wrapText="1"/>
    </xf>
    <xf numFmtId="3" fontId="4" fillId="0" borderId="25" xfId="0" applyNumberFormat="1" applyFont="1" applyFill="1" applyBorder="1" applyAlignment="1">
      <alignment vertical="center" wrapText="1"/>
    </xf>
    <xf numFmtId="3" fontId="4" fillId="0" borderId="26" xfId="0" applyNumberFormat="1" applyFont="1" applyFill="1" applyBorder="1" applyAlignment="1">
      <alignment horizontal="right" vertical="center" wrapText="1"/>
    </xf>
    <xf numFmtId="3" fontId="4" fillId="0" borderId="32" xfId="0" applyNumberFormat="1" applyFont="1" applyFill="1" applyBorder="1" applyAlignment="1">
      <alignment horizontal="right" vertical="center" wrapText="1"/>
    </xf>
    <xf numFmtId="3" fontId="4" fillId="0" borderId="24" xfId="0" applyNumberFormat="1" applyFont="1" applyFill="1" applyBorder="1" applyAlignment="1">
      <alignment horizontal="right" vertical="center" wrapText="1"/>
    </xf>
    <xf numFmtId="4" fontId="4" fillId="0" borderId="26" xfId="0" applyNumberFormat="1" applyFont="1" applyFill="1" applyBorder="1" applyAlignment="1">
      <alignment horizontal="center" vertical="center" wrapText="1"/>
    </xf>
    <xf numFmtId="3" fontId="6" fillId="0" borderId="32" xfId="0" applyNumberFormat="1" applyFont="1" applyFill="1" applyBorder="1" applyAlignment="1">
      <alignment vertical="center" wrapText="1"/>
    </xf>
    <xf numFmtId="3" fontId="6" fillId="0" borderId="13" xfId="1" applyNumberFormat="1" applyFont="1" applyFill="1" applyBorder="1" applyAlignment="1">
      <alignment vertical="center" wrapText="1"/>
    </xf>
    <xf numFmtId="3" fontId="4" fillId="0" borderId="44" xfId="0" applyNumberFormat="1" applyFont="1" applyFill="1" applyBorder="1" applyAlignment="1">
      <alignment vertical="center" wrapText="1"/>
    </xf>
    <xf numFmtId="3" fontId="4" fillId="0" borderId="15" xfId="0" applyNumberFormat="1" applyFont="1" applyFill="1" applyBorder="1" applyAlignment="1">
      <alignment vertical="center" wrapText="1"/>
    </xf>
    <xf numFmtId="3" fontId="4" fillId="0" borderId="13" xfId="0" applyNumberFormat="1" applyFont="1" applyFill="1" applyBorder="1" applyAlignment="1">
      <alignment vertical="center" wrapText="1"/>
    </xf>
    <xf numFmtId="3" fontId="6" fillId="0" borderId="2" xfId="1" applyNumberFormat="1" applyFont="1" applyFill="1" applyBorder="1" applyAlignment="1">
      <alignment vertical="center" wrapText="1"/>
    </xf>
    <xf numFmtId="3" fontId="6" fillId="0" borderId="4" xfId="1" applyNumberFormat="1" applyFont="1" applyFill="1" applyBorder="1" applyAlignment="1">
      <alignment vertical="center" wrapText="1"/>
    </xf>
    <xf numFmtId="3" fontId="4" fillId="0" borderId="4" xfId="0" applyNumberFormat="1" applyFont="1" applyFill="1" applyBorder="1" applyAlignment="1">
      <alignment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49" fontId="6" fillId="0" borderId="23" xfId="0" applyNumberFormat="1" applyFont="1" applyFill="1" applyBorder="1" applyAlignment="1">
      <alignment horizontal="center" vertical="center" wrapText="1"/>
    </xf>
    <xf numFmtId="0" fontId="4" fillId="0" borderId="23" xfId="1" applyFont="1" applyFill="1" applyBorder="1" applyAlignment="1">
      <alignment horizontal="center" vertical="center" wrapText="1"/>
    </xf>
    <xf numFmtId="3" fontId="6" fillId="0" borderId="26" xfId="0" applyNumberFormat="1" applyFont="1" applyFill="1" applyBorder="1" applyAlignment="1">
      <alignment vertical="center" wrapText="1"/>
    </xf>
    <xf numFmtId="49" fontId="6" fillId="0" borderId="26" xfId="0" applyNumberFormat="1" applyFont="1" applyFill="1" applyBorder="1" applyAlignment="1">
      <alignment horizontal="center" vertical="center" wrapText="1"/>
    </xf>
    <xf numFmtId="0" fontId="4" fillId="0" borderId="26" xfId="1" applyFont="1" applyFill="1" applyBorder="1" applyAlignment="1">
      <alignment horizontal="center" vertical="center" wrapText="1"/>
    </xf>
    <xf numFmtId="0" fontId="4" fillId="0" borderId="32" xfId="1" applyFont="1" applyFill="1" applyBorder="1" applyAlignment="1">
      <alignment horizontal="center" vertical="center" wrapText="1"/>
    </xf>
    <xf numFmtId="49" fontId="10" fillId="0" borderId="26" xfId="0" applyNumberFormat="1" applyFont="1" applyFill="1" applyBorder="1" applyAlignment="1">
      <alignment horizontal="center" vertical="center" wrapText="1"/>
    </xf>
    <xf numFmtId="0" fontId="10" fillId="0" borderId="26" xfId="0" applyFont="1" applyFill="1" applyBorder="1" applyAlignment="1">
      <alignment horizontal="center" vertical="center" wrapText="1"/>
    </xf>
    <xf numFmtId="0" fontId="10" fillId="0" borderId="26" xfId="1" applyFont="1" applyFill="1" applyBorder="1" applyAlignment="1">
      <alignment horizontal="center" vertical="center" wrapText="1"/>
    </xf>
    <xf numFmtId="0" fontId="10" fillId="0" borderId="37" xfId="1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horizontal="center" vertical="center" wrapText="1"/>
    </xf>
    <xf numFmtId="0" fontId="10" fillId="0" borderId="33" xfId="1" applyFont="1" applyFill="1" applyBorder="1" applyAlignment="1">
      <alignment horizontal="center" vertical="center" wrapText="1"/>
    </xf>
    <xf numFmtId="49" fontId="6" fillId="0" borderId="33" xfId="0" applyNumberFormat="1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49" fontId="11" fillId="0" borderId="33" xfId="0" applyNumberFormat="1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 wrapText="1"/>
    </xf>
    <xf numFmtId="0" fontId="10" fillId="0" borderId="32" xfId="1" applyFont="1" applyFill="1" applyBorder="1" applyAlignment="1">
      <alignment horizontal="center" vertical="center" wrapText="1"/>
    </xf>
    <xf numFmtId="3" fontId="11" fillId="0" borderId="23" xfId="1" applyNumberFormat="1" applyFont="1" applyFill="1" applyBorder="1" applyAlignment="1">
      <alignment vertical="center" wrapText="1"/>
    </xf>
    <xf numFmtId="3" fontId="10" fillId="0" borderId="27" xfId="0" applyNumberFormat="1" applyFont="1" applyFill="1" applyBorder="1" applyAlignment="1">
      <alignment vertical="center" wrapText="1"/>
    </xf>
    <xf numFmtId="0" fontId="10" fillId="0" borderId="35" xfId="1" applyFont="1" applyFill="1" applyBorder="1" applyAlignment="1">
      <alignment horizontal="center" vertical="center" wrapText="1"/>
    </xf>
    <xf numFmtId="0" fontId="10" fillId="0" borderId="23" xfId="1" applyFont="1" applyFill="1" applyBorder="1" applyAlignment="1">
      <alignment horizontal="center" vertical="center" wrapText="1"/>
    </xf>
    <xf numFmtId="3" fontId="10" fillId="0" borderId="25" xfId="0" applyNumberFormat="1" applyFont="1" applyFill="1" applyBorder="1" applyAlignment="1">
      <alignment vertical="center" wrapText="1"/>
    </xf>
    <xf numFmtId="0" fontId="4" fillId="0" borderId="33" xfId="1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49" fontId="6" fillId="0" borderId="22" xfId="0" applyNumberFormat="1" applyFont="1" applyFill="1" applyBorder="1" applyAlignment="1">
      <alignment horizontal="center" vertical="center" wrapText="1"/>
    </xf>
    <xf numFmtId="0" fontId="4" fillId="0" borderId="22" xfId="1" applyFont="1" applyFill="1" applyBorder="1" applyAlignment="1">
      <alignment horizontal="center" vertical="center" wrapText="1"/>
    </xf>
    <xf numFmtId="49" fontId="6" fillId="0" borderId="26" xfId="0" applyNumberFormat="1" applyFont="1" applyFill="1" applyBorder="1" applyAlignment="1">
      <alignment horizontal="center" vertical="center" wrapText="1" shrinkToFit="1"/>
    </xf>
    <xf numFmtId="0" fontId="4" fillId="0" borderId="13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24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 shrinkToFit="1"/>
    </xf>
    <xf numFmtId="49" fontId="6" fillId="0" borderId="33" xfId="0" applyNumberFormat="1" applyFont="1" applyFill="1" applyBorder="1" applyAlignment="1">
      <alignment horizontal="center" vertical="center" wrapText="1" shrinkToFit="1"/>
    </xf>
    <xf numFmtId="3" fontId="4" fillId="0" borderId="0" xfId="0" applyNumberFormat="1" applyFont="1" applyAlignment="1">
      <alignment vertical="center"/>
    </xf>
    <xf numFmtId="3" fontId="6" fillId="7" borderId="18" xfId="1" applyNumberFormat="1" applyFont="1" applyFill="1" applyBorder="1" applyAlignment="1">
      <alignment vertical="center" wrapText="1"/>
    </xf>
    <xf numFmtId="0" fontId="6" fillId="7" borderId="18" xfId="0" applyFont="1" applyFill="1" applyBorder="1" applyAlignment="1">
      <alignment horizontal="center" vertical="center" wrapText="1"/>
    </xf>
    <xf numFmtId="3" fontId="4" fillId="0" borderId="19" xfId="0" applyNumberFormat="1" applyFont="1" applyFill="1" applyBorder="1" applyAlignment="1">
      <alignment vertical="center" wrapText="1"/>
    </xf>
    <xf numFmtId="3" fontId="4" fillId="0" borderId="8" xfId="0" applyNumberFormat="1" applyFont="1" applyFill="1" applyBorder="1" applyAlignment="1">
      <alignment vertical="center" wrapText="1"/>
    </xf>
    <xf numFmtId="4" fontId="6" fillId="4" borderId="16" xfId="0" applyNumberFormat="1" applyFont="1" applyFill="1" applyBorder="1" applyAlignment="1">
      <alignment horizontal="center" vertical="center" wrapText="1"/>
    </xf>
    <xf numFmtId="4" fontId="6" fillId="7" borderId="18" xfId="1" applyNumberFormat="1" applyFont="1" applyFill="1" applyBorder="1" applyAlignment="1">
      <alignment horizontal="center" vertical="center" wrapText="1"/>
    </xf>
    <xf numFmtId="49" fontId="6" fillId="7" borderId="18" xfId="0" applyNumberFormat="1" applyFont="1" applyFill="1" applyBorder="1" applyAlignment="1">
      <alignment horizontal="center" vertical="center" wrapText="1"/>
    </xf>
    <xf numFmtId="3" fontId="6" fillId="7" borderId="18" xfId="1" applyNumberFormat="1" applyFont="1" applyFill="1" applyBorder="1" applyAlignment="1">
      <alignment horizontal="center" vertical="center" wrapText="1"/>
    </xf>
    <xf numFmtId="49" fontId="4" fillId="0" borderId="26" xfId="0" applyNumberFormat="1" applyFont="1" applyFill="1" applyBorder="1" applyAlignment="1">
      <alignment horizontal="center" vertical="center" wrapText="1"/>
    </xf>
    <xf numFmtId="49" fontId="6" fillId="7" borderId="18" xfId="1" applyNumberFormat="1" applyFont="1" applyFill="1" applyBorder="1" applyAlignment="1">
      <alignment horizontal="center" vertical="center" wrapText="1"/>
    </xf>
    <xf numFmtId="49" fontId="4" fillId="0" borderId="23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/>
    </xf>
    <xf numFmtId="3" fontId="10" fillId="0" borderId="32" xfId="0" applyNumberFormat="1" applyFont="1" applyFill="1" applyBorder="1" applyAlignment="1">
      <alignment vertical="center"/>
    </xf>
    <xf numFmtId="3" fontId="10" fillId="0" borderId="26" xfId="0" applyNumberFormat="1" applyFont="1" applyFill="1" applyBorder="1" applyAlignment="1">
      <alignment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4" fillId="0" borderId="31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10" fillId="0" borderId="32" xfId="0" applyFont="1" applyFill="1" applyBorder="1" applyAlignment="1">
      <alignment horizontal="center" vertical="center" wrapText="1"/>
    </xf>
    <xf numFmtId="49" fontId="11" fillId="0" borderId="26" xfId="0" applyNumberFormat="1" applyFont="1" applyFill="1" applyBorder="1" applyAlignment="1">
      <alignment horizontal="center" vertical="center" wrapText="1" shrinkToFit="1"/>
    </xf>
    <xf numFmtId="49" fontId="6" fillId="0" borderId="23" xfId="0" applyNumberFormat="1" applyFont="1" applyFill="1" applyBorder="1" applyAlignment="1">
      <alignment horizontal="center" vertical="center" wrapText="1" shrinkToFit="1"/>
    </xf>
    <xf numFmtId="49" fontId="11" fillId="0" borderId="23" xfId="0" applyNumberFormat="1" applyFont="1" applyFill="1" applyBorder="1" applyAlignment="1">
      <alignment horizontal="center" vertical="center" wrapText="1" shrinkToFit="1"/>
    </xf>
    <xf numFmtId="49" fontId="11" fillId="0" borderId="33" xfId="0" applyNumberFormat="1" applyFont="1" applyFill="1" applyBorder="1" applyAlignment="1">
      <alignment horizontal="center" vertical="center" wrapText="1" shrinkToFit="1"/>
    </xf>
    <xf numFmtId="0" fontId="10" fillId="0" borderId="24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4" fontId="4" fillId="0" borderId="0" xfId="0" applyNumberFormat="1" applyFont="1" applyAlignment="1">
      <alignment vertical="center"/>
    </xf>
    <xf numFmtId="3" fontId="6" fillId="7" borderId="6" xfId="0" applyNumberFormat="1" applyFont="1" applyFill="1" applyBorder="1" applyAlignment="1">
      <alignment horizontal="right" wrapText="1"/>
    </xf>
    <xf numFmtId="3" fontId="6" fillId="7" borderId="2" xfId="0" applyNumberFormat="1" applyFont="1" applyFill="1" applyBorder="1" applyAlignment="1"/>
    <xf numFmtId="3" fontId="6" fillId="7" borderId="23" xfId="0" applyNumberFormat="1" applyFont="1" applyFill="1" applyBorder="1" applyAlignment="1"/>
    <xf numFmtId="3" fontId="6" fillId="7" borderId="18" xfId="0" applyNumberFormat="1" applyFont="1" applyFill="1" applyBorder="1" applyAlignment="1"/>
    <xf numFmtId="3" fontId="6" fillId="7" borderId="6" xfId="0" applyNumberFormat="1" applyFont="1" applyFill="1" applyBorder="1" applyAlignment="1"/>
    <xf numFmtId="0" fontId="6" fillId="7" borderId="6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3" fontId="6" fillId="0" borderId="44" xfId="1" applyNumberFormat="1" applyFont="1" applyFill="1" applyBorder="1" applyAlignment="1">
      <alignment vertical="center" wrapText="1"/>
    </xf>
    <xf numFmtId="49" fontId="6" fillId="0" borderId="13" xfId="0" applyNumberFormat="1" applyFont="1" applyFill="1" applyBorder="1" applyAlignment="1">
      <alignment horizontal="center" vertical="center" wrapText="1" shrinkToFit="1"/>
    </xf>
    <xf numFmtId="49" fontId="11" fillId="0" borderId="26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3" fontId="11" fillId="0" borderId="26" xfId="0" applyNumberFormat="1" applyFont="1" applyFill="1" applyBorder="1" applyAlignment="1">
      <alignment vertical="center" wrapText="1"/>
    </xf>
    <xf numFmtId="0" fontId="4" fillId="0" borderId="31" xfId="0" applyFont="1" applyFill="1" applyBorder="1" applyAlignment="1">
      <alignment horizontal="center" vertical="center" wrapText="1"/>
    </xf>
    <xf numFmtId="49" fontId="10" fillId="0" borderId="32" xfId="0" applyNumberFormat="1" applyFont="1" applyFill="1" applyBorder="1" applyAlignment="1">
      <alignment horizontal="center" vertical="center" wrapText="1" shrinkToFit="1"/>
    </xf>
    <xf numFmtId="0" fontId="10" fillId="0" borderId="31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center" wrapText="1"/>
    </xf>
    <xf numFmtId="0" fontId="4" fillId="7" borderId="27" xfId="0" applyFont="1" applyFill="1" applyBorder="1" applyAlignment="1">
      <alignment horizontal="center"/>
    </xf>
    <xf numFmtId="4" fontId="6" fillId="7" borderId="12" xfId="0" applyNumberFormat="1" applyFont="1" applyFill="1" applyBorder="1" applyAlignment="1">
      <alignment horizontal="left"/>
    </xf>
    <xf numFmtId="4" fontId="4" fillId="7" borderId="4" xfId="0" applyNumberFormat="1" applyFont="1" applyFill="1" applyBorder="1" applyAlignment="1">
      <alignment horizontal="left"/>
    </xf>
    <xf numFmtId="4" fontId="4" fillId="7" borderId="25" xfId="0" applyNumberFormat="1" applyFont="1" applyFill="1" applyBorder="1" applyAlignment="1">
      <alignment horizontal="left"/>
    </xf>
    <xf numFmtId="3" fontId="4" fillId="0" borderId="0" xfId="0" applyNumberFormat="1" applyFont="1" applyAlignment="1">
      <alignment horizontal="right" vertical="center"/>
    </xf>
    <xf numFmtId="4" fontId="4" fillId="0" borderId="0" xfId="0" applyNumberFormat="1" applyFont="1" applyAlignment="1">
      <alignment horizontal="right" vertical="center"/>
    </xf>
    <xf numFmtId="0" fontId="4" fillId="7" borderId="18" xfId="1" applyFont="1" applyFill="1" applyBorder="1" applyAlignment="1">
      <alignment horizontal="center" vertical="center" wrapText="1"/>
    </xf>
    <xf numFmtId="0" fontId="4" fillId="0" borderId="37" xfId="1" applyFont="1" applyFill="1" applyBorder="1" applyAlignment="1">
      <alignment horizontal="center" vertical="center" wrapText="1"/>
    </xf>
    <xf numFmtId="49" fontId="6" fillId="0" borderId="0" xfId="0" applyNumberFormat="1" applyFont="1" applyAlignment="1">
      <alignment horizontal="center"/>
    </xf>
    <xf numFmtId="0" fontId="4" fillId="7" borderId="8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0" fontId="5" fillId="0" borderId="31" xfId="1" applyFont="1" applyFill="1" applyBorder="1" applyAlignment="1">
      <alignment horizontal="center" vertical="center" wrapText="1"/>
    </xf>
    <xf numFmtId="0" fontId="19" fillId="0" borderId="34" xfId="1" applyFont="1" applyFill="1" applyBorder="1" applyAlignment="1">
      <alignment horizontal="center" vertical="center" wrapText="1"/>
    </xf>
    <xf numFmtId="0" fontId="19" fillId="0" borderId="41" xfId="0" applyFont="1" applyFill="1" applyBorder="1" applyAlignment="1">
      <alignment horizontal="center" vertical="center"/>
    </xf>
    <xf numFmtId="0" fontId="19" fillId="0" borderId="37" xfId="0" applyFont="1" applyFill="1" applyBorder="1" applyAlignment="1">
      <alignment horizontal="center" vertical="center"/>
    </xf>
    <xf numFmtId="0" fontId="19" fillId="0" borderId="31" xfId="0" applyFont="1" applyFill="1" applyBorder="1" applyAlignment="1">
      <alignment horizontal="center" vertical="center" wrapText="1"/>
    </xf>
    <xf numFmtId="0" fontId="19" fillId="0" borderId="31" xfId="1" applyFont="1" applyFill="1" applyBorder="1" applyAlignment="1">
      <alignment horizontal="center" vertical="center" wrapText="1"/>
    </xf>
    <xf numFmtId="0" fontId="19" fillId="0" borderId="26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164" fontId="5" fillId="0" borderId="0" xfId="0" applyNumberFormat="1" applyFont="1" applyFill="1" applyAlignment="1">
      <alignment horizontal="center" vertical="center"/>
    </xf>
    <xf numFmtId="0" fontId="5" fillId="7" borderId="5" xfId="0" applyFont="1" applyFill="1" applyBorder="1" applyAlignment="1">
      <alignment horizontal="center" wrapText="1"/>
    </xf>
    <xf numFmtId="0" fontId="5" fillId="7" borderId="9" xfId="0" applyFont="1" applyFill="1" applyBorder="1" applyAlignment="1">
      <alignment horizontal="center"/>
    </xf>
    <xf numFmtId="0" fontId="5" fillId="7" borderId="27" xfId="0" applyFont="1" applyFill="1" applyBorder="1" applyAlignment="1">
      <alignment horizontal="center"/>
    </xf>
    <xf numFmtId="0" fontId="5" fillId="0" borderId="32" xfId="1" applyFont="1" applyFill="1" applyBorder="1" applyAlignment="1">
      <alignment horizontal="center" vertical="center" wrapText="1"/>
    </xf>
    <xf numFmtId="0" fontId="19" fillId="0" borderId="32" xfId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3" fontId="6" fillId="0" borderId="2" xfId="0" applyNumberFormat="1" applyFont="1" applyFill="1" applyBorder="1" applyAlignment="1">
      <alignment vertical="center" wrapText="1"/>
    </xf>
    <xf numFmtId="3" fontId="6" fillId="0" borderId="9" xfId="0" applyNumberFormat="1" applyFont="1" applyFill="1" applyBorder="1" applyAlignment="1">
      <alignment vertical="center" wrapText="1"/>
    </xf>
    <xf numFmtId="49" fontId="6" fillId="0" borderId="14" xfId="0" applyNumberFormat="1" applyFont="1" applyFill="1" applyBorder="1" applyAlignment="1">
      <alignment horizontal="center" vertical="center" wrapText="1"/>
    </xf>
    <xf numFmtId="49" fontId="6" fillId="0" borderId="15" xfId="0" applyNumberFormat="1" applyFont="1" applyFill="1" applyBorder="1" applyAlignment="1">
      <alignment horizontal="center" vertical="center" wrapText="1" shrinkToFit="1"/>
    </xf>
    <xf numFmtId="0" fontId="4" fillId="0" borderId="30" xfId="0" applyFont="1" applyFill="1" applyBorder="1" applyAlignment="1">
      <alignment horizontal="center" vertical="center" wrapText="1"/>
    </xf>
    <xf numFmtId="3" fontId="6" fillId="0" borderId="14" xfId="1" applyNumberFormat="1" applyFont="1" applyFill="1" applyBorder="1" applyAlignment="1">
      <alignment vertical="center" wrapText="1"/>
    </xf>
    <xf numFmtId="3" fontId="4" fillId="0" borderId="16" xfId="0" applyNumberFormat="1" applyFont="1" applyFill="1" applyBorder="1" applyAlignment="1">
      <alignment vertical="center"/>
    </xf>
    <xf numFmtId="3" fontId="4" fillId="0" borderId="30" xfId="0" applyNumberFormat="1" applyFont="1" applyFill="1" applyBorder="1" applyAlignment="1">
      <alignment vertical="center" wrapText="1"/>
    </xf>
    <xf numFmtId="3" fontId="6" fillId="0" borderId="37" xfId="1" applyNumberFormat="1" applyFont="1" applyFill="1" applyBorder="1" applyAlignment="1">
      <alignment vertical="center" wrapText="1"/>
    </xf>
    <xf numFmtId="3" fontId="4" fillId="0" borderId="49" xfId="0" applyNumberFormat="1" applyFont="1" applyFill="1" applyBorder="1" applyAlignment="1">
      <alignment vertical="center" wrapText="1"/>
    </xf>
    <xf numFmtId="3" fontId="4" fillId="0" borderId="41" xfId="0" applyNumberFormat="1" applyFont="1" applyFill="1" applyBorder="1" applyAlignment="1">
      <alignment vertical="center" wrapText="1"/>
    </xf>
    <xf numFmtId="3" fontId="4" fillId="0" borderId="22" xfId="0" applyNumberFormat="1" applyFont="1" applyFill="1" applyBorder="1" applyAlignment="1">
      <alignment vertical="center"/>
    </xf>
    <xf numFmtId="49" fontId="11" fillId="0" borderId="23" xfId="0" applyNumberFormat="1" applyFont="1" applyFill="1" applyBorder="1" applyAlignment="1">
      <alignment horizontal="center" vertical="center" wrapText="1"/>
    </xf>
    <xf numFmtId="0" fontId="19" fillId="0" borderId="32" xfId="0" applyFont="1" applyFill="1" applyBorder="1" applyAlignment="1">
      <alignment horizontal="center" vertical="center" wrapText="1"/>
    </xf>
    <xf numFmtId="3" fontId="6" fillId="0" borderId="33" xfId="0" applyNumberFormat="1" applyFont="1" applyFill="1" applyBorder="1" applyAlignment="1">
      <alignment vertical="center" wrapText="1"/>
    </xf>
    <xf numFmtId="3" fontId="4" fillId="0" borderId="2" xfId="0" applyNumberFormat="1" applyFont="1" applyFill="1" applyBorder="1" applyAlignment="1">
      <alignment horizontal="right" vertical="center" wrapText="1"/>
    </xf>
    <xf numFmtId="0" fontId="19" fillId="0" borderId="33" xfId="1" applyFont="1" applyFill="1" applyBorder="1" applyAlignment="1">
      <alignment horizontal="center" vertical="center" wrapText="1"/>
    </xf>
    <xf numFmtId="3" fontId="11" fillId="0" borderId="26" xfId="1" applyNumberFormat="1" applyFont="1" applyFill="1" applyBorder="1" applyAlignment="1">
      <alignment horizontal="right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vertical="center" wrapText="1"/>
    </xf>
    <xf numFmtId="3" fontId="10" fillId="0" borderId="22" xfId="0" applyNumberFormat="1" applyFont="1" applyFill="1" applyBorder="1" applyAlignment="1">
      <alignment vertical="center" wrapText="1"/>
    </xf>
    <xf numFmtId="49" fontId="4" fillId="0" borderId="26" xfId="0" applyNumberFormat="1" applyFont="1" applyFill="1" applyBorder="1" applyAlignment="1">
      <alignment horizontal="center" vertical="center"/>
    </xf>
    <xf numFmtId="49" fontId="10" fillId="0" borderId="35" xfId="0" applyNumberFormat="1" applyFont="1" applyFill="1" applyBorder="1" applyAlignment="1">
      <alignment horizontal="center" vertical="center" wrapText="1" shrinkToFit="1"/>
    </xf>
    <xf numFmtId="0" fontId="19" fillId="0" borderId="34" xfId="0" applyFont="1" applyFill="1" applyBorder="1" applyAlignment="1">
      <alignment horizontal="center" vertical="center" wrapText="1"/>
    </xf>
    <xf numFmtId="49" fontId="10" fillId="0" borderId="26" xfId="0" applyNumberFormat="1" applyFont="1" applyFill="1" applyBorder="1" applyAlignment="1">
      <alignment horizontal="center" vertical="center"/>
    </xf>
    <xf numFmtId="0" fontId="10" fillId="0" borderId="27" xfId="1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horizontal="center" vertical="center" wrapText="1"/>
    </xf>
    <xf numFmtId="49" fontId="11" fillId="0" borderId="13" xfId="0" applyNumberFormat="1" applyFont="1" applyFill="1" applyBorder="1" applyAlignment="1">
      <alignment horizontal="center" vertical="center" wrapText="1"/>
    </xf>
    <xf numFmtId="0" fontId="10" fillId="0" borderId="44" xfId="1" applyFont="1" applyFill="1" applyBorder="1" applyAlignment="1">
      <alignment horizontal="center" vertical="center" wrapText="1"/>
    </xf>
    <xf numFmtId="0" fontId="19" fillId="0" borderId="13" xfId="1" applyFont="1" applyFill="1" applyBorder="1" applyAlignment="1">
      <alignment horizontal="center" vertical="center" wrapText="1"/>
    </xf>
    <xf numFmtId="3" fontId="11" fillId="0" borderId="13" xfId="1" applyNumberFormat="1" applyFont="1" applyFill="1" applyBorder="1" applyAlignment="1">
      <alignment vertical="center" wrapText="1"/>
    </xf>
    <xf numFmtId="3" fontId="10" fillId="0" borderId="13" xfId="0" applyNumberFormat="1" applyFont="1" applyFill="1" applyBorder="1" applyAlignment="1">
      <alignment vertical="center" wrapText="1"/>
    </xf>
    <xf numFmtId="3" fontId="10" fillId="0" borderId="44" xfId="0" applyNumberFormat="1" applyFont="1" applyFill="1" applyBorder="1" applyAlignment="1">
      <alignment vertical="center" wrapText="1"/>
    </xf>
    <xf numFmtId="3" fontId="11" fillId="0" borderId="13" xfId="0" applyNumberFormat="1" applyFont="1" applyFill="1" applyBorder="1" applyAlignment="1">
      <alignment vertical="center" wrapText="1"/>
    </xf>
    <xf numFmtId="49" fontId="10" fillId="0" borderId="13" xfId="0" applyNumberFormat="1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/>
    </xf>
    <xf numFmtId="49" fontId="4" fillId="0" borderId="26" xfId="1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4" fontId="6" fillId="7" borderId="18" xfId="0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vertical="center" wrapText="1"/>
    </xf>
    <xf numFmtId="3" fontId="6" fillId="0" borderId="25" xfId="1" applyNumberFormat="1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vertical="center" wrapText="1"/>
    </xf>
    <xf numFmtId="49" fontId="4" fillId="0" borderId="14" xfId="0" applyNumberFormat="1" applyFont="1" applyFill="1" applyBorder="1" applyAlignment="1">
      <alignment horizontal="center" vertical="center" wrapText="1"/>
    </xf>
    <xf numFmtId="49" fontId="6" fillId="0" borderId="14" xfId="0" applyNumberFormat="1" applyFont="1" applyFill="1" applyBorder="1" applyAlignment="1">
      <alignment horizontal="center" vertical="center" wrapText="1" shrinkToFit="1"/>
    </xf>
    <xf numFmtId="3" fontId="4" fillId="0" borderId="16" xfId="0" applyNumberFormat="1" applyFont="1" applyFill="1" applyBorder="1" applyAlignment="1">
      <alignment horizontal="right" vertical="center" wrapText="1"/>
    </xf>
    <xf numFmtId="3" fontId="4" fillId="0" borderId="14" xfId="0" applyNumberFormat="1" applyFont="1" applyFill="1" applyBorder="1" applyAlignment="1">
      <alignment horizontal="right" vertical="center"/>
    </xf>
    <xf numFmtId="49" fontId="4" fillId="0" borderId="14" xfId="0" applyNumberFormat="1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3" fontId="6" fillId="0" borderId="1" xfId="1" applyNumberFormat="1" applyFont="1" applyFill="1" applyBorder="1" applyAlignment="1">
      <alignment vertical="center" wrapText="1"/>
    </xf>
    <xf numFmtId="49" fontId="6" fillId="0" borderId="0" xfId="0" applyNumberFormat="1" applyFont="1" applyBorder="1" applyAlignment="1">
      <alignment wrapText="1"/>
    </xf>
    <xf numFmtId="4" fontId="6" fillId="7" borderId="18" xfId="0" applyNumberFormat="1" applyFont="1" applyFill="1" applyBorder="1" applyAlignment="1">
      <alignment horizontal="left"/>
    </xf>
    <xf numFmtId="4" fontId="6" fillId="0" borderId="10" xfId="0" applyNumberFormat="1" applyFont="1" applyFill="1" applyBorder="1" applyAlignment="1">
      <alignment horizontal="left"/>
    </xf>
    <xf numFmtId="4" fontId="6" fillId="0" borderId="7" xfId="0" applyNumberFormat="1" applyFont="1" applyFill="1" applyBorder="1" applyAlignment="1">
      <alignment horizontal="center"/>
    </xf>
    <xf numFmtId="49" fontId="4" fillId="0" borderId="25" xfId="0" applyNumberFormat="1" applyFont="1" applyFill="1" applyBorder="1" applyAlignment="1">
      <alignment horizontal="center" vertical="center" wrapText="1"/>
    </xf>
    <xf numFmtId="49" fontId="4" fillId="0" borderId="31" xfId="0" applyNumberFormat="1" applyFont="1" applyFill="1" applyBorder="1" applyAlignment="1">
      <alignment horizontal="center" vertical="center" wrapText="1"/>
    </xf>
    <xf numFmtId="49" fontId="4" fillId="0" borderId="15" xfId="0" applyNumberFormat="1" applyFont="1" applyFill="1" applyBorder="1" applyAlignment="1">
      <alignment horizontal="center" vertical="center" wrapText="1"/>
    </xf>
    <xf numFmtId="49" fontId="4" fillId="0" borderId="30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3" fontId="6" fillId="0" borderId="26" xfId="1" applyNumberFormat="1" applyFont="1" applyBorder="1" applyAlignment="1">
      <alignment vertical="center" wrapText="1"/>
    </xf>
    <xf numFmtId="3" fontId="4" fillId="0" borderId="26" xfId="0" applyNumberFormat="1" applyFont="1" applyBorder="1" applyAlignment="1">
      <alignment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49" fontId="4" fillId="0" borderId="28" xfId="0" applyNumberFormat="1" applyFont="1" applyFill="1" applyBorder="1" applyAlignment="1">
      <alignment horizontal="center" vertical="center" wrapText="1"/>
    </xf>
    <xf numFmtId="3" fontId="6" fillId="0" borderId="27" xfId="1" applyNumberFormat="1" applyFont="1" applyFill="1" applyBorder="1" applyAlignment="1">
      <alignment vertical="center" wrapText="1"/>
    </xf>
    <xf numFmtId="3" fontId="4" fillId="0" borderId="20" xfId="0" applyNumberFormat="1" applyFont="1" applyFill="1" applyBorder="1" applyAlignment="1">
      <alignment vertical="center" wrapText="1"/>
    </xf>
    <xf numFmtId="3" fontId="4" fillId="0" borderId="2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3" fontId="6" fillId="0" borderId="19" xfId="1" applyNumberFormat="1" applyFont="1" applyFill="1" applyBorder="1" applyAlignment="1">
      <alignment vertical="center" wrapText="1"/>
    </xf>
    <xf numFmtId="3" fontId="4" fillId="0" borderId="47" xfId="0" applyNumberFormat="1" applyFont="1" applyFill="1" applyBorder="1" applyAlignment="1">
      <alignment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 wrapText="1"/>
    </xf>
    <xf numFmtId="3" fontId="10" fillId="0" borderId="20" xfId="0" applyNumberFormat="1" applyFont="1" applyFill="1" applyBorder="1" applyAlignment="1">
      <alignment vertical="center" wrapText="1"/>
    </xf>
    <xf numFmtId="3" fontId="10" fillId="0" borderId="32" xfId="0" applyNumberFormat="1" applyFont="1" applyFill="1" applyBorder="1" applyAlignment="1">
      <alignment horizontal="right" vertical="center" wrapText="1"/>
    </xf>
    <xf numFmtId="49" fontId="10" fillId="0" borderId="31" xfId="0" applyNumberFormat="1" applyFont="1" applyFill="1" applyBorder="1" applyAlignment="1">
      <alignment horizontal="center" vertical="center" wrapText="1"/>
    </xf>
    <xf numFmtId="0" fontId="13" fillId="0" borderId="32" xfId="0" applyFont="1" applyFill="1" applyBorder="1" applyAlignment="1">
      <alignment horizontal="center" vertical="center" wrapText="1"/>
    </xf>
    <xf numFmtId="49" fontId="4" fillId="0" borderId="28" xfId="1" applyNumberFormat="1" applyFont="1" applyFill="1" applyBorder="1" applyAlignment="1">
      <alignment horizontal="center" vertical="center" wrapText="1"/>
    </xf>
    <xf numFmtId="49" fontId="6" fillId="0" borderId="23" xfId="0" applyNumberFormat="1" applyFont="1" applyFill="1" applyBorder="1" applyAlignment="1">
      <alignment horizontal="center" vertical="center"/>
    </xf>
    <xf numFmtId="49" fontId="6" fillId="0" borderId="24" xfId="0" applyNumberFormat="1" applyFont="1" applyFill="1" applyBorder="1" applyAlignment="1">
      <alignment horizontal="center" vertical="center"/>
    </xf>
    <xf numFmtId="0" fontId="4" fillId="0" borderId="23" xfId="1" applyFont="1" applyFill="1" applyBorder="1" applyAlignment="1">
      <alignment horizontal="center" vertical="center"/>
    </xf>
    <xf numFmtId="3" fontId="6" fillId="0" borderId="23" xfId="1" applyNumberFormat="1" applyFont="1" applyFill="1" applyBorder="1" applyAlignment="1">
      <alignment vertical="center"/>
    </xf>
    <xf numFmtId="3" fontId="4" fillId="0" borderId="24" xfId="0" applyNumberFormat="1" applyFont="1" applyFill="1" applyBorder="1" applyAlignment="1">
      <alignment vertical="center"/>
    </xf>
    <xf numFmtId="3" fontId="4" fillId="0" borderId="27" xfId="0" applyNumberFormat="1" applyFont="1" applyFill="1" applyBorder="1" applyAlignment="1">
      <alignment vertical="center"/>
    </xf>
    <xf numFmtId="49" fontId="6" fillId="0" borderId="26" xfId="0" applyNumberFormat="1" applyFont="1" applyFill="1" applyBorder="1" applyAlignment="1">
      <alignment horizontal="center" vertical="center"/>
    </xf>
    <xf numFmtId="0" fontId="4" fillId="0" borderId="33" xfId="1" applyFont="1" applyFill="1" applyBorder="1" applyAlignment="1">
      <alignment horizontal="center" vertical="center"/>
    </xf>
    <xf numFmtId="3" fontId="6" fillId="0" borderId="26" xfId="1" applyNumberFormat="1" applyFont="1" applyFill="1" applyBorder="1" applyAlignment="1">
      <alignment vertical="center"/>
    </xf>
    <xf numFmtId="0" fontId="4" fillId="0" borderId="32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49" fontId="4" fillId="0" borderId="31" xfId="0" applyNumberFormat="1" applyFont="1" applyFill="1" applyBorder="1" applyAlignment="1">
      <alignment horizontal="center" vertical="center"/>
    </xf>
    <xf numFmtId="49" fontId="6" fillId="0" borderId="32" xfId="0" applyNumberFormat="1" applyFont="1" applyFill="1" applyBorder="1" applyAlignment="1">
      <alignment horizontal="center" vertical="center"/>
    </xf>
    <xf numFmtId="0" fontId="4" fillId="0" borderId="26" xfId="1" applyFont="1" applyFill="1" applyBorder="1" applyAlignment="1">
      <alignment horizontal="center" vertical="center"/>
    </xf>
    <xf numFmtId="3" fontId="4" fillId="0" borderId="37" xfId="0" applyNumberFormat="1" applyFont="1" applyFill="1" applyBorder="1" applyAlignment="1">
      <alignment vertical="center"/>
    </xf>
    <xf numFmtId="0" fontId="4" fillId="0" borderId="22" xfId="1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3" fontId="6" fillId="0" borderId="22" xfId="1" applyNumberFormat="1" applyFont="1" applyFill="1" applyBorder="1" applyAlignment="1">
      <alignment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37" xfId="1" applyFont="1" applyFill="1" applyBorder="1" applyAlignment="1">
      <alignment horizontal="center" vertical="center"/>
    </xf>
    <xf numFmtId="49" fontId="4" fillId="0" borderId="41" xfId="0" applyNumberFormat="1" applyFont="1" applyFill="1" applyBorder="1" applyAlignment="1">
      <alignment horizontal="center" vertical="center"/>
    </xf>
    <xf numFmtId="49" fontId="4" fillId="0" borderId="26" xfId="0" applyNumberFormat="1" applyFont="1" applyBorder="1" applyAlignment="1">
      <alignment horizontal="center" vertical="center" wrapText="1"/>
    </xf>
    <xf numFmtId="49" fontId="4" fillId="0" borderId="36" xfId="0" applyNumberFormat="1" applyFont="1" applyFill="1" applyBorder="1" applyAlignment="1">
      <alignment horizontal="center" vertical="center" wrapText="1"/>
    </xf>
    <xf numFmtId="3" fontId="6" fillId="0" borderId="26" xfId="0" applyNumberFormat="1" applyFont="1" applyBorder="1" applyAlignment="1">
      <alignment vertical="center" wrapText="1"/>
    </xf>
    <xf numFmtId="49" fontId="4" fillId="0" borderId="36" xfId="0" applyNumberFormat="1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3" fontId="11" fillId="0" borderId="26" xfId="1" applyNumberFormat="1" applyFont="1" applyBorder="1" applyAlignment="1">
      <alignment vertical="center" wrapText="1"/>
    </xf>
    <xf numFmtId="3" fontId="11" fillId="0" borderId="26" xfId="0" applyNumberFormat="1" applyFont="1" applyBorder="1" applyAlignment="1">
      <alignment vertical="center" wrapText="1"/>
    </xf>
    <xf numFmtId="3" fontId="10" fillId="0" borderId="26" xfId="0" applyNumberFormat="1" applyFont="1" applyBorder="1" applyAlignment="1">
      <alignment vertical="center" wrapText="1"/>
    </xf>
    <xf numFmtId="49" fontId="10" fillId="0" borderId="26" xfId="0" applyNumberFormat="1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3" fontId="6" fillId="0" borderId="13" xfId="0" applyNumberFormat="1" applyFont="1" applyBorder="1" applyAlignment="1">
      <alignment vertical="center" wrapText="1"/>
    </xf>
    <xf numFmtId="49" fontId="4" fillId="0" borderId="31" xfId="0" applyNumberFormat="1" applyFont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 vertical="center" wrapText="1"/>
    </xf>
    <xf numFmtId="3" fontId="10" fillId="0" borderId="20" xfId="0" applyNumberFormat="1" applyFont="1" applyFill="1" applyBorder="1" applyAlignment="1">
      <alignment vertical="center"/>
    </xf>
    <xf numFmtId="3" fontId="10" fillId="0" borderId="23" xfId="0" applyNumberFormat="1" applyFont="1" applyFill="1" applyBorder="1" applyAlignment="1">
      <alignment vertical="center"/>
    </xf>
    <xf numFmtId="3" fontId="11" fillId="0" borderId="26" xfId="0" applyNumberFormat="1" applyFont="1" applyFill="1" applyBorder="1" applyAlignment="1">
      <alignment vertical="center"/>
    </xf>
    <xf numFmtId="0" fontId="0" fillId="0" borderId="0" xfId="0" applyAlignment="1">
      <alignment horizontal="right"/>
    </xf>
    <xf numFmtId="49" fontId="4" fillId="0" borderId="14" xfId="1" applyNumberFormat="1" applyFont="1" applyFill="1" applyBorder="1" applyAlignment="1">
      <alignment horizontal="center" vertical="center" wrapText="1"/>
    </xf>
    <xf numFmtId="3" fontId="11" fillId="0" borderId="26" xfId="1" applyNumberFormat="1" applyFont="1" applyFill="1" applyBorder="1" applyAlignment="1">
      <alignment vertical="center"/>
    </xf>
    <xf numFmtId="49" fontId="10" fillId="0" borderId="23" xfId="0" applyNumberFormat="1" applyFont="1" applyFill="1" applyBorder="1" applyAlignment="1">
      <alignment horizontal="center" vertical="center"/>
    </xf>
    <xf numFmtId="49" fontId="11" fillId="0" borderId="23" xfId="0" applyNumberFormat="1" applyFont="1" applyFill="1" applyBorder="1" applyAlignment="1">
      <alignment horizontal="center" vertical="center"/>
    </xf>
    <xf numFmtId="49" fontId="11" fillId="0" borderId="26" xfId="0" applyNumberFormat="1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10" fillId="0" borderId="26" xfId="1" applyFont="1" applyFill="1" applyBorder="1" applyAlignment="1">
      <alignment horizontal="center" vertical="center"/>
    </xf>
    <xf numFmtId="3" fontId="10" fillId="0" borderId="37" xfId="0" applyNumberFormat="1" applyFont="1" applyFill="1" applyBorder="1" applyAlignment="1">
      <alignment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27" xfId="0" applyNumberFormat="1" applyFont="1" applyFill="1" applyBorder="1" applyAlignment="1">
      <alignment horizontal="center" vertical="center" wrapText="1"/>
    </xf>
    <xf numFmtId="49" fontId="4" fillId="0" borderId="37" xfId="0" applyNumberFormat="1" applyFont="1" applyFill="1" applyBorder="1" applyAlignment="1">
      <alignment horizontal="center" vertical="center" wrapText="1"/>
    </xf>
    <xf numFmtId="49" fontId="10" fillId="0" borderId="41" xfId="0" applyNumberFormat="1" applyFont="1" applyFill="1" applyBorder="1" applyAlignment="1">
      <alignment horizontal="center" vertical="center"/>
    </xf>
    <xf numFmtId="49" fontId="6" fillId="0" borderId="13" xfId="0" applyNumberFormat="1" applyFont="1" applyFill="1" applyBorder="1" applyAlignment="1">
      <alignment horizontal="center" vertical="center"/>
    </xf>
    <xf numFmtId="0" fontId="4" fillId="0" borderId="19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3" fontId="6" fillId="0" borderId="13" xfId="1" applyNumberFormat="1" applyFont="1" applyFill="1" applyBorder="1" applyAlignment="1">
      <alignment vertical="center"/>
    </xf>
    <xf numFmtId="3" fontId="4" fillId="0" borderId="13" xfId="0" applyNumberFormat="1" applyFont="1" applyFill="1" applyBorder="1" applyAlignment="1">
      <alignment vertical="center"/>
    </xf>
    <xf numFmtId="3" fontId="4" fillId="0" borderId="13" xfId="0" applyNumberFormat="1" applyFont="1" applyFill="1" applyBorder="1" applyAlignment="1">
      <alignment horizontal="right" vertical="center"/>
    </xf>
    <xf numFmtId="49" fontId="10" fillId="0" borderId="31" xfId="0" applyNumberFormat="1" applyFont="1" applyBorder="1" applyAlignment="1">
      <alignment horizontal="center" vertical="center" wrapText="1"/>
    </xf>
    <xf numFmtId="3" fontId="4" fillId="0" borderId="44" xfId="0" applyNumberFormat="1" applyFont="1" applyFill="1" applyBorder="1" applyAlignment="1">
      <alignment vertical="center"/>
    </xf>
    <xf numFmtId="3" fontId="4" fillId="0" borderId="26" xfId="0" applyNumberFormat="1" applyFont="1" applyFill="1" applyBorder="1" applyAlignment="1">
      <alignment horizontal="right" vertical="center"/>
    </xf>
    <xf numFmtId="0" fontId="6" fillId="7" borderId="12" xfId="0" applyFont="1" applyFill="1" applyBorder="1" applyAlignment="1">
      <alignment horizontal="center" vertical="center" wrapText="1"/>
    </xf>
    <xf numFmtId="49" fontId="4" fillId="0" borderId="15" xfId="0" applyNumberFormat="1" applyFont="1" applyFill="1" applyBorder="1" applyAlignment="1">
      <alignment horizontal="center" vertical="center"/>
    </xf>
    <xf numFmtId="3" fontId="6" fillId="7" borderId="12" xfId="1" applyNumberFormat="1" applyFont="1" applyFill="1" applyBorder="1" applyAlignment="1">
      <alignment horizontal="center" vertical="center" wrapText="1"/>
    </xf>
    <xf numFmtId="49" fontId="10" fillId="0" borderId="31" xfId="0" applyNumberFormat="1" applyFont="1" applyFill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4" fontId="6" fillId="0" borderId="0" xfId="0" applyNumberFormat="1" applyFont="1" applyAlignment="1">
      <alignment vertical="center"/>
    </xf>
    <xf numFmtId="0" fontId="4" fillId="0" borderId="0" xfId="0" applyFont="1" applyAlignment="1">
      <alignment horizontal="right" vertical="center"/>
    </xf>
    <xf numFmtId="3" fontId="6" fillId="7" borderId="14" xfId="1" applyNumberFormat="1" applyFont="1" applyFill="1" applyBorder="1" applyAlignment="1">
      <alignment vertical="center" wrapText="1"/>
    </xf>
    <xf numFmtId="3" fontId="10" fillId="0" borderId="29" xfId="0" applyNumberFormat="1" applyFont="1" applyFill="1" applyBorder="1" applyAlignment="1">
      <alignment vertical="center" wrapText="1"/>
    </xf>
    <xf numFmtId="3" fontId="10" fillId="0" borderId="26" xfId="0" applyNumberFormat="1" applyFont="1" applyFill="1" applyBorder="1" applyAlignment="1">
      <alignment horizontal="right" vertical="center"/>
    </xf>
    <xf numFmtId="3" fontId="4" fillId="0" borderId="32" xfId="0" applyNumberFormat="1" applyFont="1" applyFill="1" applyBorder="1" applyAlignment="1">
      <alignment horizontal="right" vertical="center"/>
    </xf>
    <xf numFmtId="3" fontId="10" fillId="0" borderId="32" xfId="0" applyNumberFormat="1" applyFont="1" applyFill="1" applyBorder="1" applyAlignment="1">
      <alignment horizontal="right" vertical="center"/>
    </xf>
    <xf numFmtId="3" fontId="4" fillId="0" borderId="44" xfId="0" applyNumberFormat="1" applyFont="1" applyFill="1" applyBorder="1" applyAlignment="1">
      <alignment horizontal="right" vertical="center"/>
    </xf>
    <xf numFmtId="3" fontId="4" fillId="0" borderId="57" xfId="0" applyNumberFormat="1" applyFont="1" applyFill="1" applyBorder="1" applyAlignment="1">
      <alignment vertical="center" wrapText="1"/>
    </xf>
    <xf numFmtId="3" fontId="4" fillId="0" borderId="58" xfId="0" applyNumberFormat="1" applyFont="1" applyFill="1" applyBorder="1" applyAlignment="1">
      <alignment vertical="center" wrapText="1"/>
    </xf>
    <xf numFmtId="3" fontId="10" fillId="0" borderId="46" xfId="0" applyNumberFormat="1" applyFont="1" applyFill="1" applyBorder="1" applyAlignment="1">
      <alignment vertical="center"/>
    </xf>
    <xf numFmtId="3" fontId="10" fillId="0" borderId="46" xfId="0" applyNumberFormat="1" applyFont="1" applyFill="1" applyBorder="1" applyAlignment="1">
      <alignment vertical="center" wrapText="1"/>
    </xf>
    <xf numFmtId="3" fontId="10" fillId="0" borderId="20" xfId="0" applyNumberFormat="1" applyFont="1" applyBorder="1" applyAlignment="1">
      <alignment vertical="center" wrapText="1"/>
    </xf>
    <xf numFmtId="3" fontId="10" fillId="0" borderId="57" xfId="0" applyNumberFormat="1" applyFont="1" applyFill="1" applyBorder="1" applyAlignment="1">
      <alignment vertical="center"/>
    </xf>
    <xf numFmtId="3" fontId="10" fillId="0" borderId="58" xfId="0" applyNumberFormat="1" applyFont="1" applyFill="1" applyBorder="1" applyAlignment="1">
      <alignment vertical="center"/>
    </xf>
    <xf numFmtId="3" fontId="4" fillId="0" borderId="1" xfId="0" applyNumberFormat="1" applyFont="1" applyFill="1" applyBorder="1" applyAlignment="1">
      <alignment horizontal="right" vertical="center"/>
    </xf>
    <xf numFmtId="0" fontId="4" fillId="0" borderId="23" xfId="1" applyFont="1" applyBorder="1" applyAlignment="1">
      <alignment horizontal="center" vertical="center" wrapText="1"/>
    </xf>
    <xf numFmtId="0" fontId="4" fillId="0" borderId="26" xfId="1" applyFont="1" applyBorder="1" applyAlignment="1">
      <alignment horizontal="center" vertical="center" wrapText="1"/>
    </xf>
    <xf numFmtId="3" fontId="6" fillId="0" borderId="26" xfId="0" applyNumberFormat="1" applyFont="1" applyFill="1" applyBorder="1" applyAlignment="1">
      <alignment vertical="center"/>
    </xf>
    <xf numFmtId="49" fontId="11" fillId="0" borderId="24" xfId="0" applyNumberFormat="1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0" fontId="10" fillId="0" borderId="23" xfId="1" applyFont="1" applyFill="1" applyBorder="1" applyAlignment="1">
      <alignment horizontal="center" vertical="center"/>
    </xf>
    <xf numFmtId="3" fontId="11" fillId="0" borderId="23" xfId="1" applyNumberFormat="1" applyFont="1" applyFill="1" applyBorder="1" applyAlignment="1">
      <alignment vertical="center"/>
    </xf>
    <xf numFmtId="3" fontId="10" fillId="0" borderId="27" xfId="0" applyNumberFormat="1" applyFont="1" applyFill="1" applyBorder="1" applyAlignment="1">
      <alignment vertical="center"/>
    </xf>
    <xf numFmtId="3" fontId="10" fillId="0" borderId="24" xfId="0" applyNumberFormat="1" applyFont="1" applyFill="1" applyBorder="1" applyAlignment="1">
      <alignment vertical="center"/>
    </xf>
    <xf numFmtId="0" fontId="10" fillId="0" borderId="24" xfId="0" applyFont="1" applyFill="1" applyBorder="1" applyAlignment="1">
      <alignment horizontal="center" vertical="center"/>
    </xf>
    <xf numFmtId="49" fontId="11" fillId="0" borderId="32" xfId="0" applyNumberFormat="1" applyFont="1" applyFill="1" applyBorder="1" applyAlignment="1">
      <alignment horizontal="center" vertical="center"/>
    </xf>
    <xf numFmtId="49" fontId="4" fillId="0" borderId="22" xfId="0" applyNumberFormat="1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center" vertical="center" wrapText="1"/>
    </xf>
    <xf numFmtId="0" fontId="4" fillId="6" borderId="24" xfId="0" applyFont="1" applyFill="1" applyBorder="1" applyAlignment="1">
      <alignment horizontal="center" vertical="center" wrapText="1"/>
    </xf>
    <xf numFmtId="0" fontId="4" fillId="6" borderId="32" xfId="0" applyFont="1" applyFill="1" applyBorder="1" applyAlignment="1">
      <alignment horizontal="center" vertical="center" wrapText="1"/>
    </xf>
    <xf numFmtId="0" fontId="8" fillId="0" borderId="32" xfId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 wrapText="1"/>
    </xf>
    <xf numFmtId="3" fontId="11" fillId="0" borderId="22" xfId="1" applyNumberFormat="1" applyFont="1" applyFill="1" applyBorder="1" applyAlignment="1">
      <alignment vertical="center" wrapText="1"/>
    </xf>
    <xf numFmtId="3" fontId="10" fillId="0" borderId="0" xfId="0" applyNumberFormat="1" applyFont="1" applyFill="1" applyBorder="1" applyAlignment="1">
      <alignment vertical="center" wrapText="1"/>
    </xf>
    <xf numFmtId="3" fontId="6" fillId="7" borderId="6" xfId="1" applyNumberFormat="1" applyFont="1" applyFill="1" applyBorder="1" applyAlignment="1">
      <alignment vertical="center" wrapText="1"/>
    </xf>
    <xf numFmtId="3" fontId="6" fillId="7" borderId="12" xfId="1" applyNumberFormat="1" applyFont="1" applyFill="1" applyBorder="1" applyAlignment="1">
      <alignment vertical="center" wrapText="1"/>
    </xf>
    <xf numFmtId="49" fontId="11" fillId="0" borderId="14" xfId="0" applyNumberFormat="1" applyFont="1" applyFill="1" applyBorder="1" applyAlignment="1">
      <alignment horizontal="center" vertical="center" wrapText="1" shrinkToFit="1"/>
    </xf>
    <xf numFmtId="0" fontId="10" fillId="0" borderId="14" xfId="0" applyFont="1" applyFill="1" applyBorder="1" applyAlignment="1">
      <alignment horizontal="center" vertical="center" wrapText="1"/>
    </xf>
    <xf numFmtId="3" fontId="11" fillId="0" borderId="14" xfId="1" applyNumberFormat="1" applyFont="1" applyFill="1" applyBorder="1" applyAlignment="1">
      <alignment vertical="center" wrapText="1"/>
    </xf>
    <xf numFmtId="3" fontId="10" fillId="0" borderId="14" xfId="0" applyNumberFormat="1" applyFont="1" applyFill="1" applyBorder="1" applyAlignment="1">
      <alignment vertical="center" wrapText="1"/>
    </xf>
    <xf numFmtId="3" fontId="10" fillId="0" borderId="16" xfId="0" applyNumberFormat="1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vertical="center"/>
    </xf>
    <xf numFmtId="0" fontId="4" fillId="0" borderId="15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3" fontId="9" fillId="0" borderId="33" xfId="1" applyNumberFormat="1" applyFont="1" applyFill="1" applyBorder="1" applyAlignment="1">
      <alignment vertical="center" wrapText="1"/>
    </xf>
    <xf numFmtId="3" fontId="9" fillId="0" borderId="26" xfId="1" applyNumberFormat="1" applyFont="1" applyFill="1" applyBorder="1" applyAlignment="1">
      <alignment vertical="center" wrapText="1"/>
    </xf>
    <xf numFmtId="3" fontId="11" fillId="0" borderId="31" xfId="1" applyNumberFormat="1" applyFont="1" applyFill="1" applyBorder="1" applyAlignment="1">
      <alignment vertical="center" wrapText="1"/>
    </xf>
    <xf numFmtId="3" fontId="11" fillId="0" borderId="20" xfId="1" applyNumberFormat="1" applyFont="1" applyFill="1" applyBorder="1" applyAlignment="1">
      <alignment vertical="center" wrapText="1"/>
    </xf>
    <xf numFmtId="0" fontId="10" fillId="0" borderId="13" xfId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3" fontId="10" fillId="0" borderId="47" xfId="0" applyNumberFormat="1" applyFont="1" applyFill="1" applyBorder="1" applyAlignment="1">
      <alignment vertical="center" wrapText="1"/>
    </xf>
    <xf numFmtId="49" fontId="10" fillId="0" borderId="15" xfId="0" applyNumberFormat="1" applyFont="1" applyFill="1" applyBorder="1" applyAlignment="1">
      <alignment horizontal="center" vertical="center" wrapText="1"/>
    </xf>
    <xf numFmtId="3" fontId="10" fillId="0" borderId="32" xfId="0" applyNumberFormat="1" applyFont="1" applyBorder="1" applyAlignment="1">
      <alignment vertical="center"/>
    </xf>
    <xf numFmtId="3" fontId="11" fillId="0" borderId="26" xfId="0" applyNumberFormat="1" applyFont="1" applyBorder="1" applyAlignment="1">
      <alignment horizontal="right" vertical="center"/>
    </xf>
    <xf numFmtId="3" fontId="10" fillId="0" borderId="26" xfId="0" applyNumberFormat="1" applyFont="1" applyBorder="1" applyAlignment="1">
      <alignment horizontal="right" vertical="center"/>
    </xf>
    <xf numFmtId="3" fontId="6" fillId="0" borderId="23" xfId="0" applyNumberFormat="1" applyFont="1" applyBorder="1" applyAlignment="1">
      <alignment vertical="center" wrapText="1"/>
    </xf>
    <xf numFmtId="0" fontId="19" fillId="0" borderId="31" xfId="0" applyFont="1" applyBorder="1" applyAlignment="1">
      <alignment horizontal="center" vertical="center"/>
    </xf>
    <xf numFmtId="3" fontId="10" fillId="0" borderId="32" xfId="0" applyNumberFormat="1" applyFont="1" applyBorder="1" applyAlignment="1">
      <alignment horizontal="right" vertical="center"/>
    </xf>
    <xf numFmtId="3" fontId="20" fillId="0" borderId="26" xfId="0" applyNumberFormat="1" applyFont="1" applyBorder="1" applyAlignment="1">
      <alignment vertical="center" wrapText="1"/>
    </xf>
    <xf numFmtId="3" fontId="4" fillId="0" borderId="62" xfId="0" applyNumberFormat="1" applyFont="1" applyFill="1" applyBorder="1" applyAlignment="1">
      <alignment vertical="center" wrapText="1"/>
    </xf>
    <xf numFmtId="49" fontId="11" fillId="0" borderId="31" xfId="0" applyNumberFormat="1" applyFont="1" applyFill="1" applyBorder="1" applyAlignment="1">
      <alignment horizontal="center" vertical="center" wrapText="1" shrinkToFit="1"/>
    </xf>
    <xf numFmtId="4" fontId="10" fillId="0" borderId="26" xfId="0" applyNumberFormat="1" applyFont="1" applyFill="1" applyBorder="1" applyAlignment="1">
      <alignment horizontal="center" vertical="center" wrapText="1"/>
    </xf>
    <xf numFmtId="49" fontId="10" fillId="0" borderId="37" xfId="0" applyNumberFormat="1" applyFont="1" applyFill="1" applyBorder="1" applyAlignment="1">
      <alignment horizontal="center" vertical="center" wrapText="1"/>
    </xf>
    <xf numFmtId="4" fontId="10" fillId="0" borderId="37" xfId="0" applyNumberFormat="1" applyFont="1" applyFill="1" applyBorder="1" applyAlignment="1">
      <alignment horizontal="center" vertical="center" wrapText="1"/>
    </xf>
    <xf numFmtId="0" fontId="10" fillId="0" borderId="41" xfId="0" applyFont="1" applyFill="1" applyBorder="1" applyAlignment="1">
      <alignment horizontal="center" vertical="center" wrapText="1"/>
    </xf>
    <xf numFmtId="4" fontId="10" fillId="0" borderId="41" xfId="0" applyNumberFormat="1" applyFont="1" applyFill="1" applyBorder="1" applyAlignment="1">
      <alignment horizontal="center" vertical="center" wrapText="1"/>
    </xf>
    <xf numFmtId="49" fontId="11" fillId="0" borderId="15" xfId="0" applyNumberFormat="1" applyFont="1" applyFill="1" applyBorder="1" applyAlignment="1">
      <alignment horizontal="center" vertical="center" wrapText="1" shrinkToFit="1"/>
    </xf>
    <xf numFmtId="3" fontId="10" fillId="0" borderId="54" xfId="0" applyNumberFormat="1" applyFont="1" applyFill="1" applyBorder="1" applyAlignment="1">
      <alignment vertical="center" wrapText="1"/>
    </xf>
    <xf numFmtId="3" fontId="10" fillId="0" borderId="19" xfId="0" applyNumberFormat="1" applyFont="1" applyFill="1" applyBorder="1" applyAlignment="1">
      <alignment vertical="center" wrapText="1"/>
    </xf>
    <xf numFmtId="4" fontId="10" fillId="0" borderId="13" xfId="0" applyNumberFormat="1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center" vertical="center" wrapText="1"/>
    </xf>
    <xf numFmtId="49" fontId="4" fillId="0" borderId="22" xfId="0" applyNumberFormat="1" applyFont="1" applyFill="1" applyBorder="1" applyAlignment="1">
      <alignment horizontal="center" vertical="center" wrapText="1"/>
    </xf>
    <xf numFmtId="3" fontId="9" fillId="0" borderId="22" xfId="1" applyNumberFormat="1" applyFont="1" applyFill="1" applyBorder="1" applyAlignment="1">
      <alignment vertical="center" wrapText="1"/>
    </xf>
    <xf numFmtId="3" fontId="4" fillId="0" borderId="36" xfId="0" applyNumberFormat="1" applyFont="1" applyFill="1" applyBorder="1" applyAlignment="1">
      <alignment vertical="center"/>
    </xf>
    <xf numFmtId="0" fontId="4" fillId="0" borderId="26" xfId="0" applyNumberFormat="1" applyFont="1" applyFill="1" applyBorder="1" applyAlignment="1">
      <alignment horizontal="center" vertical="center" wrapText="1"/>
    </xf>
    <xf numFmtId="0" fontId="10" fillId="0" borderId="26" xfId="0" applyNumberFormat="1" applyFont="1" applyFill="1" applyBorder="1" applyAlignment="1">
      <alignment horizontal="center" vertical="center" wrapText="1"/>
    </xf>
    <xf numFmtId="0" fontId="4" fillId="0" borderId="22" xfId="0" applyNumberFormat="1" applyFont="1" applyFill="1" applyBorder="1" applyAlignment="1">
      <alignment horizontal="center" vertical="center" wrapText="1"/>
    </xf>
    <xf numFmtId="49" fontId="10" fillId="0" borderId="33" xfId="0" applyNumberFormat="1" applyFont="1" applyFill="1" applyBorder="1" applyAlignment="1">
      <alignment horizontal="center" vertical="center" wrapText="1"/>
    </xf>
    <xf numFmtId="3" fontId="6" fillId="0" borderId="15" xfId="1" applyNumberFormat="1" applyFont="1" applyFill="1" applyBorder="1" applyAlignment="1">
      <alignment vertical="center" wrapText="1"/>
    </xf>
    <xf numFmtId="3" fontId="10" fillId="0" borderId="31" xfId="0" applyNumberFormat="1" applyFont="1" applyBorder="1" applyAlignment="1">
      <alignment vertical="center" wrapText="1"/>
    </xf>
    <xf numFmtId="3" fontId="6" fillId="0" borderId="31" xfId="0" applyNumberFormat="1" applyFont="1" applyFill="1" applyBorder="1" applyAlignment="1">
      <alignment vertical="center" wrapText="1"/>
    </xf>
    <xf numFmtId="3" fontId="4" fillId="0" borderId="31" xfId="0" applyNumberFormat="1" applyFont="1" applyFill="1" applyBorder="1" applyAlignment="1">
      <alignment vertical="center"/>
    </xf>
    <xf numFmtId="3" fontId="4" fillId="0" borderId="35" xfId="0" applyNumberFormat="1" applyFont="1" applyFill="1" applyBorder="1" applyAlignment="1">
      <alignment vertical="center"/>
    </xf>
    <xf numFmtId="3" fontId="10" fillId="0" borderId="32" xfId="0" applyNumberFormat="1" applyFont="1" applyBorder="1" applyAlignment="1">
      <alignment vertical="center" wrapText="1"/>
    </xf>
    <xf numFmtId="3" fontId="4" fillId="0" borderId="9" xfId="0" applyNumberFormat="1" applyFont="1" applyFill="1" applyBorder="1" applyAlignment="1">
      <alignment vertical="center"/>
    </xf>
    <xf numFmtId="3" fontId="6" fillId="0" borderId="22" xfId="0" applyNumberFormat="1" applyFont="1" applyFill="1" applyBorder="1" applyAlignment="1">
      <alignment vertical="center" wrapText="1"/>
    </xf>
    <xf numFmtId="4" fontId="4" fillId="0" borderId="27" xfId="0" applyNumberFormat="1" applyFont="1" applyFill="1" applyBorder="1" applyAlignment="1">
      <alignment horizontal="center" vertical="center" wrapText="1"/>
    </xf>
    <xf numFmtId="3" fontId="4" fillId="0" borderId="56" xfId="0" applyNumberFormat="1" applyFont="1" applyFill="1" applyBorder="1" applyAlignment="1">
      <alignment vertical="center" wrapText="1"/>
    </xf>
    <xf numFmtId="3" fontId="6" fillId="0" borderId="13" xfId="0" applyNumberFormat="1" applyFont="1" applyFill="1" applyBorder="1" applyAlignment="1">
      <alignment horizontal="right" vertical="center" wrapText="1"/>
    </xf>
    <xf numFmtId="0" fontId="4" fillId="0" borderId="41" xfId="0" applyFont="1" applyFill="1" applyBorder="1" applyAlignment="1">
      <alignment horizontal="center" vertical="center" wrapText="1"/>
    </xf>
    <xf numFmtId="3" fontId="4" fillId="0" borderId="21" xfId="0" applyNumberFormat="1" applyFont="1" applyFill="1" applyBorder="1" applyAlignment="1">
      <alignment vertical="center" wrapText="1"/>
    </xf>
    <xf numFmtId="3" fontId="6" fillId="0" borderId="20" xfId="1" applyNumberFormat="1" applyFont="1" applyFill="1" applyBorder="1" applyAlignment="1">
      <alignment vertical="center" wrapText="1"/>
    </xf>
    <xf numFmtId="3" fontId="11" fillId="0" borderId="37" xfId="1" applyNumberFormat="1" applyFont="1" applyFill="1" applyBorder="1" applyAlignment="1">
      <alignment vertical="center" wrapText="1"/>
    </xf>
    <xf numFmtId="3" fontId="4" fillId="0" borderId="29" xfId="0" applyNumberFormat="1" applyFont="1" applyFill="1" applyBorder="1" applyAlignment="1">
      <alignment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43" xfId="1" applyFont="1" applyFill="1" applyBorder="1" applyAlignment="1">
      <alignment horizontal="center" vertical="center" wrapText="1"/>
    </xf>
    <xf numFmtId="0" fontId="4" fillId="6" borderId="43" xfId="0" applyFont="1" applyFill="1" applyBorder="1" applyAlignment="1">
      <alignment horizontal="center" vertical="center" wrapText="1"/>
    </xf>
    <xf numFmtId="0" fontId="4" fillId="6" borderId="36" xfId="0" applyFont="1" applyFill="1" applyBorder="1" applyAlignment="1">
      <alignment horizontal="center" vertical="center" wrapText="1"/>
    </xf>
    <xf numFmtId="0" fontId="13" fillId="0" borderId="26" xfId="0" applyFont="1" applyFill="1" applyBorder="1" applyAlignment="1">
      <alignment horizontal="center" vertical="center" wrapText="1"/>
    </xf>
    <xf numFmtId="0" fontId="0" fillId="0" borderId="0" xfId="0" applyFont="1"/>
    <xf numFmtId="0" fontId="4" fillId="6" borderId="2" xfId="0" applyFont="1" applyFill="1" applyBorder="1" applyAlignment="1">
      <alignment horizontal="center" vertical="center" wrapText="1"/>
    </xf>
    <xf numFmtId="0" fontId="4" fillId="6" borderId="26" xfId="0" applyFont="1" applyFill="1" applyBorder="1" applyAlignment="1">
      <alignment horizontal="center" vertical="center" wrapText="1"/>
    </xf>
    <xf numFmtId="3" fontId="4" fillId="0" borderId="14" xfId="0" applyNumberFormat="1" applyFont="1" applyFill="1" applyBorder="1" applyAlignment="1">
      <alignment vertical="center"/>
    </xf>
    <xf numFmtId="3" fontId="10" fillId="9" borderId="32" xfId="0" applyNumberFormat="1" applyFont="1" applyFill="1" applyBorder="1" applyAlignment="1">
      <alignment vertical="center"/>
    </xf>
    <xf numFmtId="0" fontId="10" fillId="9" borderId="26" xfId="0" applyFont="1" applyFill="1" applyBorder="1" applyAlignment="1">
      <alignment horizontal="center" vertical="center" wrapText="1"/>
    </xf>
    <xf numFmtId="0" fontId="4" fillId="3" borderId="32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3" fontId="6" fillId="6" borderId="25" xfId="0" applyNumberFormat="1" applyFont="1" applyFill="1" applyBorder="1" applyAlignment="1">
      <alignment vertical="center" wrapText="1"/>
    </xf>
    <xf numFmtId="3" fontId="10" fillId="0" borderId="37" xfId="0" applyNumberFormat="1" applyFont="1" applyFill="1" applyBorder="1" applyAlignment="1">
      <alignment horizontal="right" vertical="center" wrapText="1"/>
    </xf>
    <xf numFmtId="49" fontId="11" fillId="0" borderId="35" xfId="0" applyNumberFormat="1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horizontal="center" vertical="center"/>
    </xf>
    <xf numFmtId="49" fontId="11" fillId="0" borderId="13" xfId="0" applyNumberFormat="1" applyFont="1" applyFill="1" applyBorder="1" applyAlignment="1">
      <alignment horizontal="center" vertical="center"/>
    </xf>
    <xf numFmtId="49" fontId="11" fillId="0" borderId="44" xfId="0" applyNumberFormat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13" xfId="1" applyFont="1" applyFill="1" applyBorder="1" applyAlignment="1">
      <alignment horizontal="center" vertical="center"/>
    </xf>
    <xf numFmtId="3" fontId="11" fillId="0" borderId="13" xfId="1" applyNumberFormat="1" applyFont="1" applyFill="1" applyBorder="1" applyAlignment="1">
      <alignment vertical="center"/>
    </xf>
    <xf numFmtId="3" fontId="10" fillId="0" borderId="13" xfId="0" applyNumberFormat="1" applyFont="1" applyFill="1" applyBorder="1" applyAlignment="1">
      <alignment vertical="center"/>
    </xf>
    <xf numFmtId="3" fontId="10" fillId="0" borderId="44" xfId="0" applyNumberFormat="1" applyFont="1" applyFill="1" applyBorder="1" applyAlignment="1">
      <alignment vertical="center"/>
    </xf>
    <xf numFmtId="49" fontId="10" fillId="0" borderId="13" xfId="0" applyNumberFormat="1" applyFont="1" applyFill="1" applyBorder="1" applyAlignment="1">
      <alignment horizontal="center" vertical="center"/>
    </xf>
    <xf numFmtId="49" fontId="10" fillId="0" borderId="15" xfId="0" applyNumberFormat="1" applyFont="1" applyFill="1" applyBorder="1" applyAlignment="1">
      <alignment horizontal="center" vertical="center"/>
    </xf>
    <xf numFmtId="0" fontId="10" fillId="0" borderId="37" xfId="1" applyFont="1" applyFill="1" applyBorder="1" applyAlignment="1">
      <alignment horizontal="center" vertical="center"/>
    </xf>
    <xf numFmtId="3" fontId="10" fillId="0" borderId="37" xfId="0" applyNumberFormat="1" applyFont="1" applyFill="1" applyBorder="1" applyAlignment="1">
      <alignment horizontal="right" vertical="center"/>
    </xf>
    <xf numFmtId="0" fontId="12" fillId="0" borderId="23" xfId="0" applyFont="1" applyFill="1" applyBorder="1" applyAlignment="1">
      <alignment horizontal="center" vertical="center"/>
    </xf>
    <xf numFmtId="3" fontId="20" fillId="0" borderId="26" xfId="1" applyNumberFormat="1" applyFont="1" applyFill="1" applyBorder="1" applyAlignment="1">
      <alignment vertical="center"/>
    </xf>
    <xf numFmtId="0" fontId="26" fillId="0" borderId="0" xfId="0" applyFont="1"/>
    <xf numFmtId="3" fontId="14" fillId="0" borderId="26" xfId="1" applyNumberFormat="1" applyFont="1" applyFill="1" applyBorder="1" applyAlignment="1">
      <alignment vertical="center" wrapText="1"/>
    </xf>
    <xf numFmtId="0" fontId="19" fillId="0" borderId="25" xfId="1" applyFont="1" applyFill="1" applyBorder="1" applyAlignment="1">
      <alignment horizontal="center" vertical="center" wrapText="1"/>
    </xf>
    <xf numFmtId="3" fontId="6" fillId="6" borderId="27" xfId="1" applyNumberFormat="1" applyFont="1" applyFill="1" applyBorder="1" applyAlignment="1">
      <alignment vertical="center" wrapText="1"/>
    </xf>
    <xf numFmtId="3" fontId="6" fillId="6" borderId="26" xfId="1" applyNumberFormat="1" applyFont="1" applyFill="1" applyBorder="1" applyAlignment="1">
      <alignment vertical="center" wrapText="1"/>
    </xf>
    <xf numFmtId="3" fontId="6" fillId="6" borderId="37" xfId="1" applyNumberFormat="1" applyFont="1" applyFill="1" applyBorder="1" applyAlignment="1">
      <alignment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3" fontId="20" fillId="0" borderId="26" xfId="1" applyNumberFormat="1" applyFont="1" applyFill="1" applyBorder="1" applyAlignment="1">
      <alignment vertical="center" wrapText="1"/>
    </xf>
    <xf numFmtId="0" fontId="12" fillId="0" borderId="32" xfId="0" applyFont="1" applyFill="1" applyBorder="1" applyAlignment="1">
      <alignment horizontal="center" vertical="center" wrapText="1"/>
    </xf>
    <xf numFmtId="0" fontId="27" fillId="0" borderId="0" xfId="0" applyFont="1"/>
    <xf numFmtId="0" fontId="12" fillId="0" borderId="44" xfId="0" applyFont="1" applyFill="1" applyBorder="1" applyAlignment="1">
      <alignment horizontal="center" vertical="center" wrapText="1"/>
    </xf>
    <xf numFmtId="0" fontId="25" fillId="0" borderId="0" xfId="0" applyFont="1" applyFill="1"/>
    <xf numFmtId="0" fontId="28" fillId="0" borderId="0" xfId="0" applyFont="1"/>
    <xf numFmtId="0" fontId="19" fillId="0" borderId="37" xfId="0" applyFont="1" applyFill="1" applyBorder="1" applyAlignment="1">
      <alignment horizontal="center" vertical="center" wrapText="1"/>
    </xf>
    <xf numFmtId="3" fontId="6" fillId="6" borderId="2" xfId="1" applyNumberFormat="1" applyFont="1" applyFill="1" applyBorder="1" applyAlignment="1">
      <alignment vertical="center" wrapText="1"/>
    </xf>
    <xf numFmtId="0" fontId="25" fillId="0" borderId="0" xfId="0" applyFont="1"/>
    <xf numFmtId="3" fontId="10" fillId="0" borderId="41" xfId="0" applyNumberFormat="1" applyFont="1" applyFill="1" applyBorder="1" applyAlignment="1">
      <alignment vertical="center" wrapText="1"/>
    </xf>
    <xf numFmtId="49" fontId="6" fillId="0" borderId="16" xfId="0" applyNumberFormat="1" applyFont="1" applyFill="1" applyBorder="1" applyAlignment="1">
      <alignment horizontal="center" vertical="center" wrapText="1" shrinkToFit="1"/>
    </xf>
    <xf numFmtId="3" fontId="11" fillId="0" borderId="8" xfId="1" applyNumberFormat="1" applyFont="1" applyFill="1" applyBorder="1" applyAlignment="1">
      <alignment vertical="center" wrapText="1"/>
    </xf>
    <xf numFmtId="3" fontId="11" fillId="0" borderId="33" xfId="0" applyNumberFormat="1" applyFont="1" applyFill="1" applyBorder="1" applyAlignment="1">
      <alignment vertical="center" wrapText="1"/>
    </xf>
    <xf numFmtId="3" fontId="4" fillId="0" borderId="26" xfId="1" applyNumberFormat="1" applyFont="1" applyFill="1" applyBorder="1" applyAlignment="1">
      <alignment vertical="center" wrapText="1"/>
    </xf>
    <xf numFmtId="3" fontId="6" fillId="0" borderId="2" xfId="0" applyNumberFormat="1" applyFont="1" applyFill="1" applyBorder="1" applyAlignment="1">
      <alignment horizontal="right" vertical="center"/>
    </xf>
    <xf numFmtId="3" fontId="6" fillId="0" borderId="26" xfId="0" applyNumberFormat="1" applyFont="1" applyFill="1" applyBorder="1" applyAlignment="1">
      <alignment horizontal="right" vertical="center"/>
    </xf>
    <xf numFmtId="3" fontId="6" fillId="0" borderId="23" xfId="0" applyNumberFormat="1" applyFont="1" applyFill="1" applyBorder="1" applyAlignment="1">
      <alignment horizontal="right" vertical="center"/>
    </xf>
    <xf numFmtId="3" fontId="4" fillId="0" borderId="23" xfId="0" applyNumberFormat="1" applyFont="1" applyFill="1" applyBorder="1" applyAlignment="1">
      <alignment horizontal="right" vertical="center"/>
    </xf>
    <xf numFmtId="3" fontId="4" fillId="0" borderId="24" xfId="0" applyNumberFormat="1" applyFont="1" applyFill="1" applyBorder="1" applyAlignment="1">
      <alignment horizontal="right" vertical="center"/>
    </xf>
    <xf numFmtId="0" fontId="4" fillId="0" borderId="23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49" fontId="11" fillId="0" borderId="13" xfId="0" applyNumberFormat="1" applyFont="1" applyFill="1" applyBorder="1" applyAlignment="1">
      <alignment horizontal="center" vertical="center" wrapText="1" shrinkToFit="1"/>
    </xf>
    <xf numFmtId="3" fontId="10" fillId="0" borderId="15" xfId="0" applyNumberFormat="1" applyFont="1" applyFill="1" applyBorder="1" applyAlignment="1">
      <alignment vertical="center" wrapText="1"/>
    </xf>
    <xf numFmtId="3" fontId="10" fillId="0" borderId="44" xfId="0" applyNumberFormat="1" applyFont="1" applyFill="1" applyBorder="1" applyAlignment="1">
      <alignment horizontal="right" vertical="center" wrapText="1"/>
    </xf>
    <xf numFmtId="0" fontId="10" fillId="0" borderId="13" xfId="0" applyNumberFormat="1" applyFont="1" applyFill="1" applyBorder="1" applyAlignment="1">
      <alignment horizontal="center" vertical="center" wrapText="1"/>
    </xf>
    <xf numFmtId="3" fontId="11" fillId="4" borderId="31" xfId="0" applyNumberFormat="1" applyFont="1" applyFill="1" applyBorder="1" applyAlignment="1">
      <alignment vertical="center" wrapText="1"/>
    </xf>
    <xf numFmtId="3" fontId="6" fillId="4" borderId="31" xfId="0" applyNumberFormat="1" applyFont="1" applyFill="1" applyBorder="1" applyAlignment="1">
      <alignment vertical="center" wrapText="1"/>
    </xf>
    <xf numFmtId="0" fontId="0" fillId="0" borderId="0" xfId="0" applyFill="1"/>
    <xf numFmtId="0" fontId="8" fillId="0" borderId="26" xfId="1" applyFont="1" applyFill="1" applyBorder="1" applyAlignment="1">
      <alignment horizontal="center" vertical="center" wrapText="1"/>
    </xf>
    <xf numFmtId="3" fontId="6" fillId="4" borderId="37" xfId="1" applyNumberFormat="1" applyFont="1" applyFill="1" applyBorder="1" applyAlignment="1">
      <alignment vertical="center" wrapText="1"/>
    </xf>
    <xf numFmtId="3" fontId="11" fillId="4" borderId="37" xfId="1" applyNumberFormat="1" applyFont="1" applyFill="1" applyBorder="1" applyAlignment="1">
      <alignment vertical="center" wrapText="1"/>
    </xf>
    <xf numFmtId="3" fontId="11" fillId="4" borderId="31" xfId="0" applyNumberFormat="1" applyFont="1" applyFill="1" applyBorder="1" applyAlignment="1">
      <alignment vertical="center"/>
    </xf>
    <xf numFmtId="0" fontId="29" fillId="0" borderId="0" xfId="0" applyFont="1"/>
    <xf numFmtId="0" fontId="0" fillId="0" borderId="0" xfId="0" applyFont="1" applyFill="1"/>
    <xf numFmtId="0" fontId="4" fillId="0" borderId="30" xfId="1" applyFont="1" applyFill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7" fillId="7" borderId="6" xfId="1" applyFont="1" applyFill="1" applyBorder="1" applyAlignment="1">
      <alignment horizontal="center" vertical="center" wrapText="1"/>
    </xf>
    <xf numFmtId="0" fontId="7" fillId="7" borderId="5" xfId="1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3" fontId="10" fillId="0" borderId="62" xfId="0" applyNumberFormat="1" applyFont="1" applyFill="1" applyBorder="1" applyAlignment="1">
      <alignment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26" fillId="0" borderId="0" xfId="0" applyFont="1" applyFill="1"/>
    <xf numFmtId="3" fontId="6" fillId="6" borderId="23" xfId="1" applyNumberFormat="1" applyFont="1" applyFill="1" applyBorder="1" applyAlignment="1">
      <alignment vertical="center" wrapText="1"/>
    </xf>
    <xf numFmtId="3" fontId="6" fillId="6" borderId="22" xfId="1" applyNumberFormat="1" applyFont="1" applyFill="1" applyBorder="1" applyAlignment="1">
      <alignment vertical="center" wrapText="1"/>
    </xf>
    <xf numFmtId="3" fontId="4" fillId="0" borderId="37" xfId="1" applyNumberFormat="1" applyFont="1" applyFill="1" applyBorder="1" applyAlignment="1">
      <alignment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4" fillId="0" borderId="35" xfId="1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5" fillId="0" borderId="34" xfId="1" applyFont="1" applyFill="1" applyBorder="1" applyAlignment="1">
      <alignment horizontal="center" vertical="center" wrapText="1"/>
    </xf>
    <xf numFmtId="0" fontId="5" fillId="0" borderId="41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 wrapText="1"/>
    </xf>
    <xf numFmtId="0" fontId="19" fillId="0" borderId="31" xfId="0" applyFont="1" applyFill="1" applyBorder="1" applyAlignment="1">
      <alignment horizontal="center" vertical="center"/>
    </xf>
    <xf numFmtId="0" fontId="10" fillId="0" borderId="4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3" fontId="6" fillId="4" borderId="8" xfId="0" applyNumberFormat="1" applyFont="1" applyFill="1" applyBorder="1" applyAlignment="1">
      <alignment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3" fontId="6" fillId="4" borderId="37" xfId="0" applyNumberFormat="1" applyFont="1" applyFill="1" applyBorder="1" applyAlignment="1">
      <alignment vertical="center" wrapText="1"/>
    </xf>
    <xf numFmtId="0" fontId="5" fillId="0" borderId="26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3" fontId="6" fillId="4" borderId="19" xfId="0" applyNumberFormat="1" applyFont="1" applyFill="1" applyBorder="1" applyAlignment="1">
      <alignment vertical="center" wrapText="1"/>
    </xf>
    <xf numFmtId="49" fontId="4" fillId="0" borderId="19" xfId="0" applyNumberFormat="1" applyFont="1" applyFill="1" applyBorder="1" applyAlignment="1">
      <alignment horizontal="center" vertical="center" wrapText="1"/>
    </xf>
    <xf numFmtId="3" fontId="6" fillId="6" borderId="27" xfId="0" applyNumberFormat="1" applyFont="1" applyFill="1" applyBorder="1" applyAlignment="1">
      <alignment vertical="center" wrapText="1"/>
    </xf>
    <xf numFmtId="0" fontId="4" fillId="6" borderId="31" xfId="0" applyFont="1" applyFill="1" applyBorder="1" applyAlignment="1">
      <alignment horizontal="center" vertical="center" wrapText="1"/>
    </xf>
    <xf numFmtId="3" fontId="4" fillId="0" borderId="14" xfId="0" applyNumberFormat="1" applyFont="1" applyFill="1" applyBorder="1" applyAlignment="1">
      <alignment horizontal="center" vertical="center" wrapText="1"/>
    </xf>
    <xf numFmtId="3" fontId="20" fillId="4" borderId="26" xfId="0" applyNumberFormat="1" applyFont="1" applyFill="1" applyBorder="1" applyAlignment="1">
      <alignment vertical="center" wrapText="1"/>
    </xf>
    <xf numFmtId="49" fontId="20" fillId="0" borderId="33" xfId="0" applyNumberFormat="1" applyFont="1" applyFill="1" applyBorder="1" applyAlignment="1">
      <alignment horizontal="center" vertical="center" wrapText="1"/>
    </xf>
    <xf numFmtId="49" fontId="20" fillId="0" borderId="26" xfId="0" applyNumberFormat="1" applyFont="1" applyFill="1" applyBorder="1" applyAlignment="1">
      <alignment horizontal="center" vertical="center" wrapText="1" shrinkToFit="1"/>
    </xf>
    <xf numFmtId="0" fontId="12" fillId="0" borderId="33" xfId="1" applyFont="1" applyFill="1" applyBorder="1" applyAlignment="1">
      <alignment horizontal="center" vertical="center" wrapText="1"/>
    </xf>
    <xf numFmtId="0" fontId="12" fillId="0" borderId="35" xfId="1" applyFont="1" applyFill="1" applyBorder="1" applyAlignment="1">
      <alignment horizontal="center" vertical="center" wrapText="1"/>
    </xf>
    <xf numFmtId="0" fontId="33" fillId="0" borderId="34" xfId="1" applyFont="1" applyFill="1" applyBorder="1" applyAlignment="1">
      <alignment horizontal="center" vertical="center" wrapText="1"/>
    </xf>
    <xf numFmtId="3" fontId="20" fillId="0" borderId="33" xfId="1" applyNumberFormat="1" applyFont="1" applyFill="1" applyBorder="1" applyAlignment="1">
      <alignment vertical="center" wrapText="1"/>
    </xf>
    <xf numFmtId="3" fontId="20" fillId="0" borderId="33" xfId="0" applyNumberFormat="1" applyFont="1" applyFill="1" applyBorder="1" applyAlignment="1">
      <alignment vertical="center" wrapText="1"/>
    </xf>
    <xf numFmtId="3" fontId="12" fillId="0" borderId="33" xfId="0" applyNumberFormat="1" applyFont="1" applyFill="1" applyBorder="1" applyAlignment="1">
      <alignment vertical="center" wrapText="1"/>
    </xf>
    <xf numFmtId="3" fontId="12" fillId="0" borderId="35" xfId="0" applyNumberFormat="1" applyFont="1" applyFill="1" applyBorder="1" applyAlignment="1">
      <alignment vertical="center" wrapText="1"/>
    </xf>
    <xf numFmtId="3" fontId="12" fillId="0" borderId="32" xfId="0" applyNumberFormat="1" applyFont="1" applyFill="1" applyBorder="1" applyAlignment="1">
      <alignment horizontal="right" vertical="center" wrapText="1"/>
    </xf>
    <xf numFmtId="0" fontId="5" fillId="0" borderId="25" xfId="1" applyFont="1" applyFill="1" applyBorder="1" applyAlignment="1">
      <alignment horizontal="center" vertical="center" wrapText="1"/>
    </xf>
    <xf numFmtId="0" fontId="19" fillId="0" borderId="15" xfId="1" applyFont="1" applyFill="1" applyBorder="1" applyAlignment="1">
      <alignment horizontal="center" vertical="center" wrapText="1"/>
    </xf>
    <xf numFmtId="0" fontId="4" fillId="0" borderId="44" xfId="1" applyFont="1" applyFill="1" applyBorder="1" applyAlignment="1">
      <alignment horizontal="center" vertical="center" wrapText="1"/>
    </xf>
    <xf numFmtId="3" fontId="4" fillId="0" borderId="44" xfId="0" applyNumberFormat="1" applyFont="1" applyFill="1" applyBorder="1" applyAlignment="1">
      <alignment horizontal="right"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5" fillId="0" borderId="33" xfId="1" applyFont="1" applyFill="1" applyBorder="1" applyAlignment="1">
      <alignment horizontal="center" vertical="center" wrapText="1"/>
    </xf>
    <xf numFmtId="0" fontId="5" fillId="0" borderId="26" xfId="1" applyFont="1" applyFill="1" applyBorder="1" applyAlignment="1">
      <alignment horizontal="center" vertical="center" wrapText="1"/>
    </xf>
    <xf numFmtId="0" fontId="19" fillId="0" borderId="23" xfId="1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 wrapText="1"/>
    </xf>
    <xf numFmtId="0" fontId="5" fillId="0" borderId="13" xfId="1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wrapText="1"/>
    </xf>
    <xf numFmtId="49" fontId="20" fillId="0" borderId="26" xfId="0" applyNumberFormat="1" applyFont="1" applyBorder="1" applyAlignment="1">
      <alignment horizontal="center" vertical="center" wrapText="1" shrinkToFit="1"/>
    </xf>
    <xf numFmtId="0" fontId="12" fillId="0" borderId="26" xfId="0" applyFont="1" applyBorder="1" applyAlignment="1">
      <alignment horizontal="center" vertical="center" wrapText="1"/>
    </xf>
    <xf numFmtId="0" fontId="12" fillId="0" borderId="26" xfId="1" applyFont="1" applyBorder="1" applyAlignment="1">
      <alignment horizontal="center" vertical="center" wrapText="1"/>
    </xf>
    <xf numFmtId="0" fontId="12" fillId="0" borderId="32" xfId="1" applyFont="1" applyBorder="1" applyAlignment="1">
      <alignment horizontal="center" vertical="center" wrapText="1"/>
    </xf>
    <xf numFmtId="0" fontId="33" fillId="0" borderId="31" xfId="0" applyFont="1" applyBorder="1" applyAlignment="1">
      <alignment horizontal="center" vertical="center" wrapText="1"/>
    </xf>
    <xf numFmtId="3" fontId="12" fillId="0" borderId="26" xfId="0" applyNumberFormat="1" applyFont="1" applyBorder="1" applyAlignment="1">
      <alignment vertical="center" wrapText="1"/>
    </xf>
    <xf numFmtId="3" fontId="12" fillId="0" borderId="32" xfId="0" applyNumberFormat="1" applyFont="1" applyBorder="1" applyAlignment="1">
      <alignment vertical="center" wrapText="1"/>
    </xf>
    <xf numFmtId="49" fontId="12" fillId="0" borderId="26" xfId="0" applyNumberFormat="1" applyFont="1" applyBorder="1" applyAlignment="1">
      <alignment horizontal="center" vertical="center" wrapText="1"/>
    </xf>
    <xf numFmtId="49" fontId="12" fillId="0" borderId="31" xfId="0" applyNumberFormat="1" applyFont="1" applyBorder="1" applyAlignment="1">
      <alignment horizontal="center" vertical="center" wrapText="1"/>
    </xf>
    <xf numFmtId="3" fontId="12" fillId="0" borderId="32" xfId="0" applyNumberFormat="1" applyFont="1" applyBorder="1" applyAlignment="1">
      <alignment vertical="center"/>
    </xf>
    <xf numFmtId="3" fontId="6" fillId="0" borderId="13" xfId="0" applyNumberFormat="1" applyFont="1" applyFill="1" applyBorder="1" applyAlignment="1">
      <alignment vertical="center" wrapText="1"/>
    </xf>
    <xf numFmtId="0" fontId="5" fillId="0" borderId="25" xfId="0" applyFont="1" applyFill="1" applyBorder="1" applyAlignment="1">
      <alignment horizontal="center" vertical="center"/>
    </xf>
    <xf numFmtId="3" fontId="14" fillId="0" borderId="33" xfId="1" applyNumberFormat="1" applyFont="1" applyFill="1" applyBorder="1" applyAlignment="1">
      <alignment vertical="center" wrapText="1"/>
    </xf>
    <xf numFmtId="0" fontId="13" fillId="0" borderId="33" xfId="1" applyFont="1" applyFill="1" applyBorder="1" applyAlignment="1">
      <alignment horizontal="center" vertical="center" wrapText="1"/>
    </xf>
    <xf numFmtId="3" fontId="12" fillId="0" borderId="46" xfId="0" applyNumberFormat="1" applyFont="1" applyBorder="1" applyAlignment="1">
      <alignment vertical="center"/>
    </xf>
    <xf numFmtId="49" fontId="12" fillId="9" borderId="26" xfId="0" applyNumberFormat="1" applyFont="1" applyFill="1" applyBorder="1" applyAlignment="1">
      <alignment horizontal="center" vertical="center" wrapText="1"/>
    </xf>
    <xf numFmtId="0" fontId="4" fillId="6" borderId="20" xfId="0" applyFont="1" applyFill="1" applyBorder="1" applyAlignment="1">
      <alignment horizontal="center" vertical="center" wrapText="1"/>
    </xf>
    <xf numFmtId="0" fontId="4" fillId="6" borderId="41" xfId="0" applyFont="1" applyFill="1" applyBorder="1" applyAlignment="1">
      <alignment horizontal="center" vertical="center" wrapText="1"/>
    </xf>
    <xf numFmtId="3" fontId="6" fillId="0" borderId="30" xfId="1" applyNumberFormat="1" applyFont="1" applyFill="1" applyBorder="1" applyAlignment="1">
      <alignment vertical="center" wrapText="1"/>
    </xf>
    <xf numFmtId="0" fontId="18" fillId="2" borderId="5" xfId="0" applyFont="1" applyFill="1" applyBorder="1" applyAlignment="1">
      <alignment vertical="center"/>
    </xf>
    <xf numFmtId="3" fontId="12" fillId="0" borderId="35" xfId="0" applyNumberFormat="1" applyFont="1" applyBorder="1" applyAlignment="1">
      <alignment vertical="center" wrapText="1"/>
    </xf>
    <xf numFmtId="0" fontId="12" fillId="9" borderId="26" xfId="0" applyFont="1" applyFill="1" applyBorder="1" applyAlignment="1">
      <alignment horizontal="center" vertical="center" wrapText="1"/>
    </xf>
    <xf numFmtId="0" fontId="12" fillId="0" borderId="33" xfId="0" applyFont="1" applyFill="1" applyBorder="1" applyAlignment="1">
      <alignment horizontal="center" vertical="center" wrapText="1"/>
    </xf>
    <xf numFmtId="0" fontId="8" fillId="3" borderId="26" xfId="0" applyFont="1" applyFill="1" applyBorder="1" applyAlignment="1">
      <alignment horizontal="center" vertical="center" wrapText="1"/>
    </xf>
    <xf numFmtId="4" fontId="4" fillId="0" borderId="13" xfId="0" applyNumberFormat="1" applyFont="1" applyFill="1" applyBorder="1" applyAlignment="1">
      <alignment horizontal="center" vertical="center" wrapText="1"/>
    </xf>
    <xf numFmtId="49" fontId="6" fillId="0" borderId="25" xfId="0" applyNumberFormat="1" applyFont="1" applyFill="1" applyBorder="1" applyAlignment="1">
      <alignment horizontal="center" vertical="center" wrapText="1" shrinkToFit="1"/>
    </xf>
    <xf numFmtId="4" fontId="4" fillId="0" borderId="19" xfId="0" applyNumberFormat="1" applyFont="1" applyFill="1" applyBorder="1" applyAlignment="1">
      <alignment horizontal="center" vertical="center" wrapText="1"/>
    </xf>
    <xf numFmtId="3" fontId="11" fillId="0" borderId="37" xfId="0" applyNumberFormat="1" applyFont="1" applyFill="1" applyBorder="1" applyAlignment="1">
      <alignment vertical="center" wrapText="1"/>
    </xf>
    <xf numFmtId="3" fontId="20" fillId="0" borderId="37" xfId="1" applyNumberFormat="1" applyFont="1" applyFill="1" applyBorder="1" applyAlignment="1">
      <alignment vertical="center" wrapText="1"/>
    </xf>
    <xf numFmtId="3" fontId="6" fillId="0" borderId="1" xfId="0" applyNumberFormat="1" applyFont="1" applyFill="1" applyBorder="1" applyAlignment="1">
      <alignment vertical="center" wrapText="1"/>
    </xf>
    <xf numFmtId="3" fontId="11" fillId="4" borderId="37" xfId="0" applyNumberFormat="1" applyFont="1" applyFill="1" applyBorder="1" applyAlignment="1">
      <alignment vertical="center" wrapText="1"/>
    </xf>
    <xf numFmtId="3" fontId="9" fillId="0" borderId="27" xfId="1" applyNumberFormat="1" applyFont="1" applyFill="1" applyBorder="1" applyAlignment="1">
      <alignment vertical="center" wrapText="1"/>
    </xf>
    <xf numFmtId="0" fontId="19" fillId="0" borderId="41" xfId="0" applyFont="1" applyFill="1" applyBorder="1" applyAlignment="1">
      <alignment horizontal="center" vertical="center" wrapText="1"/>
    </xf>
    <xf numFmtId="0" fontId="34" fillId="0" borderId="0" xfId="0" applyFont="1"/>
    <xf numFmtId="0" fontId="5" fillId="0" borderId="14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vertical="center"/>
    </xf>
    <xf numFmtId="3" fontId="6" fillId="0" borderId="14" xfId="0" applyNumberFormat="1" applyFont="1" applyFill="1" applyBorder="1" applyAlignment="1">
      <alignment horizontal="right" vertical="center"/>
    </xf>
    <xf numFmtId="0" fontId="4" fillId="0" borderId="19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 wrapText="1"/>
    </xf>
    <xf numFmtId="49" fontId="6" fillId="0" borderId="25" xfId="0" applyNumberFormat="1" applyFont="1" applyFill="1" applyBorder="1" applyAlignment="1">
      <alignment horizontal="center" vertical="center" wrapText="1"/>
    </xf>
    <xf numFmtId="0" fontId="4" fillId="0" borderId="25" xfId="1" applyFont="1" applyFill="1" applyBorder="1" applyAlignment="1">
      <alignment horizontal="center" vertical="center" wrapText="1"/>
    </xf>
    <xf numFmtId="3" fontId="6" fillId="0" borderId="24" xfId="0" applyNumberFormat="1" applyFont="1" applyFill="1" applyBorder="1" applyAlignment="1">
      <alignment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49" fontId="6" fillId="0" borderId="24" xfId="0" applyNumberFormat="1" applyFont="1" applyFill="1" applyBorder="1" applyAlignment="1">
      <alignment horizontal="center" vertical="center" wrapText="1" shrinkToFit="1"/>
    </xf>
    <xf numFmtId="0" fontId="5" fillId="0" borderId="27" xfId="0" applyFont="1" applyFill="1" applyBorder="1" applyAlignment="1">
      <alignment horizontal="center" vertical="center" wrapText="1"/>
    </xf>
    <xf numFmtId="49" fontId="4" fillId="0" borderId="32" xfId="0" applyNumberFormat="1" applyFont="1" applyFill="1" applyBorder="1" applyAlignment="1">
      <alignment horizontal="center" vertical="center" wrapText="1" shrinkToFit="1"/>
    </xf>
    <xf numFmtId="0" fontId="5" fillId="0" borderId="13" xfId="0" applyFont="1" applyFill="1" applyBorder="1" applyAlignment="1">
      <alignment horizontal="center" vertical="center" wrapText="1"/>
    </xf>
    <xf numFmtId="3" fontId="6" fillId="0" borderId="44" xfId="0" applyNumberFormat="1" applyFont="1" applyFill="1" applyBorder="1" applyAlignment="1">
      <alignment vertical="center" wrapText="1"/>
    </xf>
    <xf numFmtId="49" fontId="4" fillId="0" borderId="23" xfId="0" applyNumberFormat="1" applyFont="1" applyFill="1" applyBorder="1" applyAlignment="1">
      <alignment horizontal="center" vertical="center" wrapText="1" shrinkToFit="1"/>
    </xf>
    <xf numFmtId="0" fontId="5" fillId="0" borderId="19" xfId="0" applyFont="1" applyFill="1" applyBorder="1" applyAlignment="1">
      <alignment horizontal="center" vertical="center" wrapText="1"/>
    </xf>
    <xf numFmtId="3" fontId="4" fillId="0" borderId="20" xfId="1" applyNumberFormat="1" applyFont="1" applyFill="1" applyBorder="1" applyAlignment="1">
      <alignment vertical="center" wrapText="1"/>
    </xf>
    <xf numFmtId="3" fontId="4" fillId="0" borderId="2" xfId="0" applyNumberFormat="1" applyFont="1" applyFill="1" applyBorder="1" applyAlignment="1">
      <alignment vertical="center"/>
    </xf>
    <xf numFmtId="3" fontId="4" fillId="0" borderId="58" xfId="0" applyNumberFormat="1" applyFont="1" applyFill="1" applyBorder="1" applyAlignment="1">
      <alignment vertical="center"/>
    </xf>
    <xf numFmtId="0" fontId="5" fillId="0" borderId="28" xfId="0" applyFont="1" applyFill="1" applyBorder="1" applyAlignment="1">
      <alignment horizontal="center" vertical="center" wrapText="1"/>
    </xf>
    <xf numFmtId="3" fontId="11" fillId="0" borderId="26" xfId="3" applyNumberFormat="1" applyFont="1" applyFill="1" applyBorder="1" applyAlignment="1">
      <alignment horizontal="center" vertical="center"/>
    </xf>
    <xf numFmtId="3" fontId="10" fillId="0" borderId="26" xfId="3" applyNumberFormat="1" applyFont="1" applyFill="1" applyBorder="1" applyAlignment="1">
      <alignment horizontal="center" vertical="center"/>
    </xf>
    <xf numFmtId="3" fontId="10" fillId="0" borderId="26" xfId="3" applyNumberFormat="1" applyFont="1" applyFill="1" applyBorder="1" applyAlignment="1">
      <alignment horizontal="center" vertical="center" wrapText="1"/>
    </xf>
    <xf numFmtId="3" fontId="19" fillId="0" borderId="26" xfId="3" applyNumberFormat="1" applyFont="1" applyFill="1" applyBorder="1" applyAlignment="1">
      <alignment horizontal="center" vertical="center"/>
    </xf>
    <xf numFmtId="3" fontId="11" fillId="0" borderId="26" xfId="3" applyNumberFormat="1" applyFont="1" applyFill="1" applyBorder="1" applyAlignment="1">
      <alignment vertical="center"/>
    </xf>
    <xf numFmtId="49" fontId="10" fillId="0" borderId="23" xfId="0" applyNumberFormat="1" applyFont="1" applyFill="1" applyBorder="1" applyAlignment="1">
      <alignment horizontal="center" vertical="center" wrapText="1"/>
    </xf>
    <xf numFmtId="3" fontId="4" fillId="0" borderId="44" xfId="3" applyNumberFormat="1" applyFont="1" applyFill="1" applyBorder="1" applyAlignment="1">
      <alignment vertical="center"/>
    </xf>
    <xf numFmtId="3" fontId="4" fillId="0" borderId="2" xfId="0" applyNumberFormat="1" applyFont="1" applyFill="1" applyBorder="1" applyAlignment="1">
      <alignment horizontal="right" vertical="center"/>
    </xf>
    <xf numFmtId="3" fontId="11" fillId="0" borderId="26" xfId="0" applyNumberFormat="1" applyFont="1" applyFill="1" applyBorder="1" applyAlignment="1">
      <alignment horizontal="right" vertical="center"/>
    </xf>
    <xf numFmtId="3" fontId="6" fillId="0" borderId="13" xfId="0" applyNumberFormat="1" applyFont="1" applyFill="1" applyBorder="1" applyAlignment="1">
      <alignment horizontal="right" vertical="center"/>
    </xf>
    <xf numFmtId="0" fontId="5" fillId="0" borderId="23" xfId="0" applyFont="1" applyFill="1" applyBorder="1" applyAlignment="1">
      <alignment horizontal="center" vertical="center"/>
    </xf>
    <xf numFmtId="3" fontId="4" fillId="0" borderId="27" xfId="0" applyNumberFormat="1" applyFont="1" applyFill="1" applyBorder="1" applyAlignment="1">
      <alignment horizontal="right" vertical="center"/>
    </xf>
    <xf numFmtId="49" fontId="4" fillId="0" borderId="25" xfId="1" applyNumberFormat="1" applyFont="1" applyFill="1" applyBorder="1" applyAlignment="1">
      <alignment horizontal="center" vertical="center" wrapText="1"/>
    </xf>
    <xf numFmtId="49" fontId="4" fillId="0" borderId="2" xfId="1" applyNumberFormat="1" applyFont="1" applyFill="1" applyBorder="1" applyAlignment="1">
      <alignment horizontal="center" vertical="center" wrapText="1"/>
    </xf>
    <xf numFmtId="49" fontId="4" fillId="0" borderId="31" xfId="1" applyNumberFormat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22" xfId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25" xfId="0" applyNumberFormat="1" applyFont="1" applyFill="1" applyBorder="1" applyAlignment="1">
      <alignment horizontal="center" vertical="center"/>
    </xf>
    <xf numFmtId="49" fontId="6" fillId="0" borderId="15" xfId="0" applyNumberFormat="1" applyFont="1" applyFill="1" applyBorder="1" applyAlignment="1">
      <alignment horizontal="center" vertical="center" wrapText="1"/>
    </xf>
    <xf numFmtId="49" fontId="4" fillId="0" borderId="24" xfId="0" applyNumberFormat="1" applyFont="1" applyFill="1" applyBorder="1" applyAlignment="1">
      <alignment horizontal="center" vertical="center" wrapText="1" shrinkToFit="1"/>
    </xf>
    <xf numFmtId="49" fontId="10" fillId="0" borderId="33" xfId="0" applyNumberFormat="1" applyFont="1" applyFill="1" applyBorder="1" applyAlignment="1">
      <alignment horizontal="center" vertical="center" wrapText="1" shrinkToFit="1"/>
    </xf>
    <xf numFmtId="49" fontId="10" fillId="0" borderId="13" xfId="0" applyNumberFormat="1" applyFont="1" applyFill="1" applyBorder="1" applyAlignment="1">
      <alignment horizontal="center" vertical="center" wrapText="1" shrinkToFit="1"/>
    </xf>
    <xf numFmtId="0" fontId="19" fillId="0" borderId="13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30" fillId="0" borderId="30" xfId="0" applyFont="1" applyFill="1" applyBorder="1" applyAlignment="1">
      <alignment vertical="center"/>
    </xf>
    <xf numFmtId="0" fontId="34" fillId="0" borderId="14" xfId="0" applyFont="1" applyFill="1" applyBorder="1"/>
    <xf numFmtId="0" fontId="34" fillId="0" borderId="16" xfId="0" applyFont="1" applyFill="1" applyBorder="1"/>
    <xf numFmtId="0" fontId="34" fillId="0" borderId="30" xfId="0" applyFont="1" applyFill="1" applyBorder="1"/>
    <xf numFmtId="3" fontId="11" fillId="0" borderId="27" xfId="1" applyNumberFormat="1" applyFont="1" applyFill="1" applyBorder="1" applyAlignment="1">
      <alignment vertical="center" wrapText="1"/>
    </xf>
    <xf numFmtId="3" fontId="11" fillId="0" borderId="19" xfId="1" applyNumberFormat="1" applyFont="1" applyFill="1" applyBorder="1" applyAlignment="1">
      <alignment vertical="center" wrapText="1"/>
    </xf>
    <xf numFmtId="4" fontId="6" fillId="10" borderId="18" xfId="0" applyNumberFormat="1" applyFont="1" applyFill="1" applyBorder="1" applyAlignment="1">
      <alignment horizontal="center" vertical="center" wrapText="1"/>
    </xf>
    <xf numFmtId="3" fontId="6" fillId="4" borderId="31" xfId="0" applyNumberFormat="1" applyFont="1" applyFill="1" applyBorder="1" applyAlignment="1">
      <alignment horizontal="right" vertical="center"/>
    </xf>
    <xf numFmtId="3" fontId="6" fillId="4" borderId="27" xfId="0" applyNumberFormat="1" applyFont="1" applyFill="1" applyBorder="1" applyAlignment="1">
      <alignment vertical="center" wrapText="1"/>
    </xf>
    <xf numFmtId="4" fontId="6" fillId="11" borderId="16" xfId="0" applyNumberFormat="1" applyFont="1" applyFill="1" applyBorder="1" applyAlignment="1">
      <alignment horizontal="center" vertical="center" wrapText="1"/>
    </xf>
    <xf numFmtId="3" fontId="4" fillId="0" borderId="42" xfId="0" applyNumberFormat="1" applyFont="1" applyFill="1" applyBorder="1" applyAlignment="1">
      <alignment vertical="center" wrapText="1"/>
    </xf>
    <xf numFmtId="3" fontId="10" fillId="0" borderId="42" xfId="0" applyNumberFormat="1" applyFont="1" applyFill="1" applyBorder="1" applyAlignment="1">
      <alignment vertical="center" wrapText="1"/>
    </xf>
    <xf numFmtId="3" fontId="4" fillId="0" borderId="19" xfId="0" applyNumberFormat="1" applyFont="1" applyFill="1" applyBorder="1" applyAlignment="1">
      <alignment vertical="center"/>
    </xf>
    <xf numFmtId="3" fontId="4" fillId="0" borderId="8" xfId="0" applyNumberFormat="1" applyFont="1" applyFill="1" applyBorder="1" applyAlignment="1">
      <alignment vertical="center"/>
    </xf>
    <xf numFmtId="3" fontId="10" fillId="0" borderId="19" xfId="0" applyNumberFormat="1" applyFont="1" applyFill="1" applyBorder="1" applyAlignment="1">
      <alignment vertical="center"/>
    </xf>
    <xf numFmtId="3" fontId="10" fillId="0" borderId="20" xfId="0" applyNumberFormat="1" applyFont="1" applyFill="1" applyBorder="1" applyAlignment="1">
      <alignment horizontal="right" vertical="center" wrapText="1"/>
    </xf>
    <xf numFmtId="3" fontId="4" fillId="0" borderId="60" xfId="0" applyNumberFormat="1" applyFont="1" applyFill="1" applyBorder="1" applyAlignment="1">
      <alignment vertical="center"/>
    </xf>
    <xf numFmtId="3" fontId="4" fillId="0" borderId="47" xfId="0" applyNumberFormat="1" applyFont="1" applyFill="1" applyBorder="1" applyAlignment="1">
      <alignment vertical="center"/>
    </xf>
    <xf numFmtId="3" fontId="4" fillId="0" borderId="21" xfId="0" applyNumberFormat="1" applyFont="1" applyFill="1" applyBorder="1" applyAlignment="1">
      <alignment vertical="center"/>
    </xf>
    <xf numFmtId="3" fontId="4" fillId="0" borderId="62" xfId="0" applyNumberFormat="1" applyFont="1" applyFill="1" applyBorder="1" applyAlignment="1">
      <alignment vertical="center"/>
    </xf>
    <xf numFmtId="3" fontId="10" fillId="0" borderId="60" xfId="0" applyNumberFormat="1" applyFont="1" applyFill="1" applyBorder="1" applyAlignment="1">
      <alignment vertical="center" wrapText="1"/>
    </xf>
    <xf numFmtId="3" fontId="10" fillId="0" borderId="21" xfId="0" applyNumberFormat="1" applyFont="1" applyFill="1" applyBorder="1" applyAlignment="1">
      <alignment vertical="center"/>
    </xf>
    <xf numFmtId="3" fontId="10" fillId="0" borderId="47" xfId="0" applyNumberFormat="1" applyFont="1" applyFill="1" applyBorder="1" applyAlignment="1">
      <alignment vertical="center"/>
    </xf>
    <xf numFmtId="0" fontId="5" fillId="0" borderId="44" xfId="0" applyFont="1" applyFill="1" applyBorder="1" applyAlignment="1">
      <alignment horizontal="center" vertical="center" wrapText="1"/>
    </xf>
    <xf numFmtId="49" fontId="6" fillId="0" borderId="44" xfId="0" applyNumberFormat="1" applyFont="1" applyFill="1" applyBorder="1" applyAlignment="1">
      <alignment horizontal="center" vertical="center" wrapText="1" shrinkToFit="1"/>
    </xf>
    <xf numFmtId="0" fontId="4" fillId="0" borderId="13" xfId="0" applyFont="1" applyFill="1" applyBorder="1" applyAlignment="1">
      <alignment horizontal="center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 applyFill="1" applyAlignment="1">
      <alignment horizontal="right" vertical="center"/>
    </xf>
    <xf numFmtId="0" fontId="4" fillId="0" borderId="0" xfId="0" applyFont="1" applyAlignment="1">
      <alignment horizontal="right"/>
    </xf>
    <xf numFmtId="164" fontId="5" fillId="0" borderId="0" xfId="0" applyNumberFormat="1" applyFont="1" applyFill="1" applyAlignment="1">
      <alignment horizontal="right" vertical="center"/>
    </xf>
    <xf numFmtId="49" fontId="4" fillId="0" borderId="0" xfId="0" applyNumberFormat="1" applyFont="1" applyFill="1" applyAlignment="1">
      <alignment horizontal="right" vertical="center"/>
    </xf>
    <xf numFmtId="4" fontId="7" fillId="7" borderId="18" xfId="1" applyNumberFormat="1" applyFont="1" applyFill="1" applyBorder="1" applyAlignment="1">
      <alignment horizontal="center" vertical="center" wrapText="1"/>
    </xf>
    <xf numFmtId="3" fontId="6" fillId="7" borderId="2" xfId="1" applyNumberFormat="1" applyFont="1" applyFill="1" applyBorder="1" applyAlignment="1">
      <alignment vertical="center" wrapText="1"/>
    </xf>
    <xf numFmtId="3" fontId="6" fillId="7" borderId="26" xfId="1" applyNumberFormat="1" applyFont="1" applyFill="1" applyBorder="1" applyAlignment="1">
      <alignment vertical="center" wrapText="1"/>
    </xf>
    <xf numFmtId="3" fontId="6" fillId="7" borderId="13" xfId="1" applyNumberFormat="1" applyFont="1" applyFill="1" applyBorder="1" applyAlignment="1">
      <alignment vertical="center" wrapText="1"/>
    </xf>
    <xf numFmtId="3" fontId="4" fillId="0" borderId="30" xfId="0" applyNumberFormat="1" applyFont="1" applyFill="1" applyBorder="1" applyAlignment="1">
      <alignment vertical="center"/>
    </xf>
    <xf numFmtId="3" fontId="10" fillId="0" borderId="15" xfId="0" applyNumberFormat="1" applyFont="1" applyFill="1" applyBorder="1" applyAlignment="1">
      <alignment vertical="center"/>
    </xf>
    <xf numFmtId="49" fontId="6" fillId="7" borderId="12" xfId="0" applyNumberFormat="1" applyFont="1" applyFill="1" applyBorder="1" applyAlignment="1">
      <alignment horizontal="center" vertical="center" wrapText="1"/>
    </xf>
    <xf numFmtId="0" fontId="4" fillId="7" borderId="12" xfId="0" applyFont="1" applyFill="1" applyBorder="1" applyAlignment="1">
      <alignment horizontal="center" vertical="center" wrapText="1"/>
    </xf>
    <xf numFmtId="3" fontId="4" fillId="6" borderId="26" xfId="0" applyNumberFormat="1" applyFont="1" applyFill="1" applyBorder="1" applyAlignment="1">
      <alignment vertical="center" wrapText="1"/>
    </xf>
    <xf numFmtId="3" fontId="10" fillId="0" borderId="13" xfId="0" applyNumberFormat="1" applyFont="1" applyBorder="1" applyAlignment="1">
      <alignment vertical="center" wrapText="1"/>
    </xf>
    <xf numFmtId="3" fontId="10" fillId="0" borderId="47" xfId="0" applyNumberFormat="1" applyFont="1" applyBorder="1" applyAlignment="1">
      <alignment vertical="center" wrapText="1"/>
    </xf>
    <xf numFmtId="3" fontId="10" fillId="0" borderId="44" xfId="0" applyNumberFormat="1" applyFont="1" applyBorder="1" applyAlignment="1">
      <alignment vertical="center" wrapText="1"/>
    </xf>
    <xf numFmtId="49" fontId="10" fillId="0" borderId="13" xfId="0" applyNumberFormat="1" applyFont="1" applyBorder="1" applyAlignment="1">
      <alignment horizontal="center" vertical="center"/>
    </xf>
    <xf numFmtId="49" fontId="10" fillId="0" borderId="15" xfId="0" applyNumberFormat="1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/>
    </xf>
    <xf numFmtId="3" fontId="6" fillId="0" borderId="18" xfId="1" applyNumberFormat="1" applyFont="1" applyBorder="1" applyAlignment="1">
      <alignment vertical="center" wrapText="1"/>
    </xf>
    <xf numFmtId="3" fontId="4" fillId="0" borderId="18" xfId="0" applyNumberFormat="1" applyFont="1" applyBorder="1" applyAlignment="1">
      <alignment vertical="center" wrapText="1"/>
    </xf>
    <xf numFmtId="3" fontId="4" fillId="0" borderId="52" xfId="0" applyNumberFormat="1" applyFont="1" applyBorder="1" applyAlignment="1">
      <alignment vertical="center" wrapText="1"/>
    </xf>
    <xf numFmtId="3" fontId="4" fillId="0" borderId="6" xfId="0" applyNumberFormat="1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49" fontId="6" fillId="6" borderId="2" xfId="0" applyNumberFormat="1" applyFont="1" applyFill="1" applyBorder="1" applyAlignment="1">
      <alignment horizontal="center" vertical="center" wrapText="1"/>
    </xf>
    <xf numFmtId="49" fontId="4" fillId="6" borderId="2" xfId="0" applyNumberFormat="1" applyFont="1" applyFill="1" applyBorder="1" applyAlignment="1">
      <alignment horizontal="center" vertical="center" wrapText="1" shrinkToFit="1"/>
    </xf>
    <xf numFmtId="0" fontId="5" fillId="6" borderId="9" xfId="0" applyFont="1" applyFill="1" applyBorder="1" applyAlignment="1">
      <alignment horizontal="center" vertical="center" wrapText="1"/>
    </xf>
    <xf numFmtId="3" fontId="4" fillId="6" borderId="22" xfId="0" applyNumberFormat="1" applyFont="1" applyFill="1" applyBorder="1" applyAlignment="1">
      <alignment vertical="center" wrapText="1"/>
    </xf>
    <xf numFmtId="3" fontId="4" fillId="6" borderId="0" xfId="0" applyNumberFormat="1" applyFont="1" applyFill="1" applyBorder="1" applyAlignment="1">
      <alignment vertical="center" wrapText="1"/>
    </xf>
    <xf numFmtId="3" fontId="4" fillId="6" borderId="60" xfId="0" applyNumberFormat="1" applyFont="1" applyFill="1" applyBorder="1" applyAlignment="1">
      <alignment vertical="center" wrapText="1"/>
    </xf>
    <xf numFmtId="3" fontId="4" fillId="6" borderId="29" xfId="0" applyNumberFormat="1" applyFont="1" applyFill="1" applyBorder="1" applyAlignment="1">
      <alignment vertical="center" wrapText="1"/>
    </xf>
    <xf numFmtId="0" fontId="4" fillId="6" borderId="25" xfId="0" applyFont="1" applyFill="1" applyBorder="1" applyAlignment="1">
      <alignment horizontal="center" vertical="center" wrapText="1"/>
    </xf>
    <xf numFmtId="49" fontId="4" fillId="6" borderId="23" xfId="0" applyNumberFormat="1" applyFont="1" applyFill="1" applyBorder="1" applyAlignment="1">
      <alignment horizontal="center" vertical="center"/>
    </xf>
    <xf numFmtId="49" fontId="6" fillId="6" borderId="23" xfId="0" applyNumberFormat="1" applyFont="1" applyFill="1" applyBorder="1" applyAlignment="1">
      <alignment horizontal="center" vertical="center" wrapText="1"/>
    </xf>
    <xf numFmtId="49" fontId="4" fillId="6" borderId="23" xfId="0" applyNumberFormat="1" applyFont="1" applyFill="1" applyBorder="1" applyAlignment="1">
      <alignment horizontal="center" vertical="center" wrapText="1" shrinkToFit="1"/>
    </xf>
    <xf numFmtId="0" fontId="5" fillId="6" borderId="25" xfId="0" applyFont="1" applyFill="1" applyBorder="1" applyAlignment="1">
      <alignment horizontal="center" vertical="center" wrapText="1"/>
    </xf>
    <xf numFmtId="3" fontId="4" fillId="6" borderId="20" xfId="0" applyNumberFormat="1" applyFont="1" applyFill="1" applyBorder="1" applyAlignment="1">
      <alignment vertical="center" wrapText="1"/>
    </xf>
    <xf numFmtId="3" fontId="4" fillId="6" borderId="32" xfId="0" applyNumberFormat="1" applyFont="1" applyFill="1" applyBorder="1" applyAlignment="1">
      <alignment vertical="center" wrapText="1"/>
    </xf>
    <xf numFmtId="49" fontId="4" fillId="6" borderId="26" xfId="0" applyNumberFormat="1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3" fillId="0" borderId="31" xfId="0" applyFont="1" applyFill="1" applyBorder="1" applyAlignment="1">
      <alignment horizontal="center" vertical="center" wrapText="1"/>
    </xf>
    <xf numFmtId="49" fontId="9" fillId="0" borderId="26" xfId="0" applyNumberFormat="1" applyFont="1" applyFill="1" applyBorder="1" applyAlignment="1">
      <alignment horizontal="center" vertical="center" wrapText="1"/>
    </xf>
    <xf numFmtId="49" fontId="9" fillId="0" borderId="26" xfId="0" applyNumberFormat="1" applyFont="1" applyFill="1" applyBorder="1" applyAlignment="1">
      <alignment horizontal="center" vertical="center" wrapText="1" shrinkToFit="1"/>
    </xf>
    <xf numFmtId="0" fontId="8" fillId="0" borderId="31" xfId="0" applyFont="1" applyFill="1" applyBorder="1" applyAlignment="1">
      <alignment horizontal="center" vertical="center" wrapText="1"/>
    </xf>
    <xf numFmtId="3" fontId="8" fillId="0" borderId="41" xfId="0" applyNumberFormat="1" applyFont="1" applyFill="1" applyBorder="1" applyAlignment="1">
      <alignment vertical="center" wrapText="1"/>
    </xf>
    <xf numFmtId="3" fontId="8" fillId="0" borderId="20" xfId="0" applyNumberFormat="1" applyFont="1" applyFill="1" applyBorder="1" applyAlignment="1">
      <alignment vertical="center" wrapText="1"/>
    </xf>
    <xf numFmtId="3" fontId="8" fillId="0" borderId="37" xfId="0" applyNumberFormat="1" applyFont="1" applyFill="1" applyBorder="1" applyAlignment="1">
      <alignment vertical="center" wrapText="1"/>
    </xf>
    <xf numFmtId="3" fontId="8" fillId="0" borderId="26" xfId="0" applyNumberFormat="1" applyFont="1" applyFill="1" applyBorder="1" applyAlignment="1">
      <alignment vertical="center" wrapText="1"/>
    </xf>
    <xf numFmtId="3" fontId="8" fillId="0" borderId="37" xfId="1" applyNumberFormat="1" applyFont="1" applyFill="1" applyBorder="1" applyAlignment="1">
      <alignment vertical="center" wrapText="1"/>
    </xf>
    <xf numFmtId="49" fontId="8" fillId="0" borderId="37" xfId="0" applyNumberFormat="1" applyFont="1" applyFill="1" applyBorder="1" applyAlignment="1">
      <alignment horizontal="center" vertical="center" wrapText="1"/>
    </xf>
    <xf numFmtId="49" fontId="8" fillId="0" borderId="31" xfId="0" applyNumberFormat="1" applyFont="1" applyFill="1" applyBorder="1" applyAlignment="1">
      <alignment horizontal="center" vertical="center" wrapText="1"/>
    </xf>
    <xf numFmtId="49" fontId="8" fillId="0" borderId="26" xfId="0" applyNumberFormat="1" applyFont="1" applyFill="1" applyBorder="1" applyAlignment="1">
      <alignment horizontal="center" vertical="center" wrapText="1"/>
    </xf>
    <xf numFmtId="49" fontId="20" fillId="0" borderId="26" xfId="0" applyNumberFormat="1" applyFont="1" applyFill="1" applyBorder="1" applyAlignment="1">
      <alignment horizontal="center" vertical="center" wrapText="1"/>
    </xf>
    <xf numFmtId="49" fontId="12" fillId="0" borderId="33" xfId="0" applyNumberFormat="1" applyFont="1" applyFill="1" applyBorder="1" applyAlignment="1">
      <alignment horizontal="center" vertical="center" wrapText="1" shrinkToFit="1"/>
    </xf>
    <xf numFmtId="0" fontId="12" fillId="0" borderId="26" xfId="1" applyFont="1" applyFill="1" applyBorder="1" applyAlignment="1">
      <alignment horizontal="center" vertical="center" wrapText="1"/>
    </xf>
    <xf numFmtId="0" fontId="33" fillId="0" borderId="32" xfId="0" applyFont="1" applyFill="1" applyBorder="1" applyAlignment="1">
      <alignment horizontal="center" vertical="center" wrapText="1"/>
    </xf>
    <xf numFmtId="3" fontId="12" fillId="0" borderId="26" xfId="0" applyNumberFormat="1" applyFont="1" applyFill="1" applyBorder="1" applyAlignment="1">
      <alignment vertical="center" wrapText="1"/>
    </xf>
    <xf numFmtId="3" fontId="12" fillId="0" borderId="37" xfId="0" applyNumberFormat="1" applyFont="1" applyFill="1" applyBorder="1" applyAlignment="1">
      <alignment vertical="center" wrapText="1"/>
    </xf>
    <xf numFmtId="3" fontId="12" fillId="0" borderId="20" xfId="0" applyNumberFormat="1" applyFont="1" applyFill="1" applyBorder="1" applyAlignment="1">
      <alignment vertical="center" wrapText="1"/>
    </xf>
    <xf numFmtId="3" fontId="12" fillId="0" borderId="32" xfId="0" applyNumberFormat="1" applyFont="1" applyFill="1" applyBorder="1" applyAlignment="1">
      <alignment vertical="center" wrapText="1"/>
    </xf>
    <xf numFmtId="3" fontId="12" fillId="0" borderId="41" xfId="0" applyNumberFormat="1" applyFont="1" applyFill="1" applyBorder="1" applyAlignment="1">
      <alignment vertical="center" wrapText="1"/>
    </xf>
    <xf numFmtId="49" fontId="10" fillId="0" borderId="3" xfId="0" applyNumberFormat="1" applyFont="1" applyFill="1" applyBorder="1" applyAlignment="1">
      <alignment horizontal="center" vertical="center" wrapText="1" shrinkToFit="1"/>
    </xf>
    <xf numFmtId="0" fontId="10" fillId="0" borderId="2" xfId="1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3" fontId="10" fillId="0" borderId="21" xfId="0" applyNumberFormat="1" applyFont="1" applyFill="1" applyBorder="1" applyAlignment="1">
      <alignment vertical="center" wrapText="1"/>
    </xf>
    <xf numFmtId="3" fontId="10" fillId="0" borderId="23" xfId="0" applyNumberFormat="1" applyFont="1" applyBorder="1" applyAlignment="1">
      <alignment vertical="center" wrapText="1"/>
    </xf>
    <xf numFmtId="3" fontId="10" fillId="0" borderId="24" xfId="0" applyNumberFormat="1" applyFont="1" applyBorder="1" applyAlignment="1">
      <alignment vertical="center" wrapText="1"/>
    </xf>
    <xf numFmtId="0" fontId="10" fillId="0" borderId="25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3" fontId="20" fillId="0" borderId="23" xfId="1" applyNumberFormat="1" applyFont="1" applyFill="1" applyBorder="1" applyAlignment="1">
      <alignment vertical="center" wrapText="1"/>
    </xf>
    <xf numFmtId="0" fontId="12" fillId="0" borderId="31" xfId="0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49" fontId="6" fillId="3" borderId="22" xfId="0" applyNumberFormat="1" applyFont="1" applyFill="1" applyBorder="1" applyAlignment="1">
      <alignment horizontal="center" vertical="center" wrapText="1" shrinkToFit="1"/>
    </xf>
    <xf numFmtId="0" fontId="4" fillId="3" borderId="29" xfId="1" applyFont="1" applyFill="1" applyBorder="1" applyAlignment="1">
      <alignment horizontal="center" vertical="center" wrapText="1"/>
    </xf>
    <xf numFmtId="3" fontId="6" fillId="3" borderId="23" xfId="1" applyNumberFormat="1" applyFont="1" applyFill="1" applyBorder="1" applyAlignment="1">
      <alignment vertical="center" wrapText="1"/>
    </xf>
    <xf numFmtId="3" fontId="6" fillId="3" borderId="22" xfId="1" applyNumberFormat="1" applyFont="1" applyFill="1" applyBorder="1" applyAlignment="1">
      <alignment vertical="center" wrapText="1"/>
    </xf>
    <xf numFmtId="3" fontId="4" fillId="3" borderId="4" xfId="0" applyNumberFormat="1" applyFont="1" applyFill="1" applyBorder="1" applyAlignment="1">
      <alignment vertical="center" wrapText="1"/>
    </xf>
    <xf numFmtId="3" fontId="6" fillId="3" borderId="2" xfId="1" applyNumberFormat="1" applyFont="1" applyFill="1" applyBorder="1" applyAlignment="1">
      <alignment vertical="center" wrapText="1"/>
    </xf>
    <xf numFmtId="3" fontId="6" fillId="3" borderId="24" xfId="1" applyNumberFormat="1" applyFont="1" applyFill="1" applyBorder="1" applyAlignment="1">
      <alignment vertical="center" wrapText="1"/>
    </xf>
    <xf numFmtId="3" fontId="4" fillId="3" borderId="37" xfId="0" applyNumberFormat="1" applyFont="1" applyFill="1" applyBorder="1" applyAlignment="1">
      <alignment vertical="center" wrapText="1"/>
    </xf>
    <xf numFmtId="3" fontId="4" fillId="3" borderId="45" xfId="0" applyNumberFormat="1" applyFont="1" applyFill="1" applyBorder="1" applyAlignment="1">
      <alignment vertical="center" wrapText="1"/>
    </xf>
    <xf numFmtId="3" fontId="4" fillId="3" borderId="29" xfId="0" applyNumberFormat="1" applyFont="1" applyFill="1" applyBorder="1" applyAlignment="1">
      <alignment vertical="center" wrapText="1"/>
    </xf>
    <xf numFmtId="3" fontId="4" fillId="3" borderId="33" xfId="0" applyNumberFormat="1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6" fillId="3" borderId="33" xfId="0" applyNumberFormat="1" applyFont="1" applyFill="1" applyBorder="1" applyAlignment="1">
      <alignment horizontal="center" vertical="center" wrapText="1"/>
    </xf>
    <xf numFmtId="49" fontId="6" fillId="3" borderId="33" xfId="0" applyNumberFormat="1" applyFont="1" applyFill="1" applyBorder="1" applyAlignment="1">
      <alignment horizontal="center" vertical="center" wrapText="1" shrinkToFit="1"/>
    </xf>
    <xf numFmtId="0" fontId="4" fillId="3" borderId="35" xfId="1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center" wrapText="1"/>
    </xf>
    <xf numFmtId="3" fontId="6" fillId="3" borderId="26" xfId="1" applyNumberFormat="1" applyFont="1" applyFill="1" applyBorder="1" applyAlignment="1">
      <alignment vertical="center" wrapText="1"/>
    </xf>
    <xf numFmtId="3" fontId="6" fillId="3" borderId="31" xfId="1" applyNumberFormat="1" applyFont="1" applyFill="1" applyBorder="1" applyAlignment="1">
      <alignment vertical="center" wrapText="1"/>
    </xf>
    <xf numFmtId="3" fontId="6" fillId="3" borderId="33" xfId="1" applyNumberFormat="1" applyFont="1" applyFill="1" applyBorder="1" applyAlignment="1">
      <alignment vertical="center" wrapText="1"/>
    </xf>
    <xf numFmtId="3" fontId="6" fillId="3" borderId="32" xfId="0" applyNumberFormat="1" applyFont="1" applyFill="1" applyBorder="1" applyAlignment="1">
      <alignment vertical="center" wrapText="1"/>
    </xf>
    <xf numFmtId="3" fontId="4" fillId="3" borderId="42" xfId="0" applyNumberFormat="1" applyFont="1" applyFill="1" applyBorder="1" applyAlignment="1">
      <alignment vertical="center" wrapText="1"/>
    </xf>
    <xf numFmtId="3" fontId="4" fillId="3" borderId="34" xfId="0" applyNumberFormat="1" applyFont="1" applyFill="1" applyBorder="1" applyAlignment="1">
      <alignment vertical="center" wrapText="1"/>
    </xf>
    <xf numFmtId="3" fontId="4" fillId="3" borderId="35" xfId="0" applyNumberFormat="1" applyFont="1" applyFill="1" applyBorder="1" applyAlignment="1">
      <alignment vertical="center" wrapText="1"/>
    </xf>
    <xf numFmtId="49" fontId="4" fillId="3" borderId="26" xfId="0" applyNumberFormat="1" applyFont="1" applyFill="1" applyBorder="1" applyAlignment="1">
      <alignment horizontal="center" vertical="center" wrapText="1"/>
    </xf>
    <xf numFmtId="49" fontId="4" fillId="3" borderId="31" xfId="0" applyNumberFormat="1" applyFont="1" applyFill="1" applyBorder="1" applyAlignment="1">
      <alignment horizontal="center" vertical="center" wrapText="1"/>
    </xf>
    <xf numFmtId="49" fontId="4" fillId="3" borderId="26" xfId="0" applyNumberFormat="1" applyFont="1" applyFill="1" applyBorder="1" applyAlignment="1">
      <alignment horizontal="center" vertical="center"/>
    </xf>
    <xf numFmtId="3" fontId="4" fillId="3" borderId="31" xfId="0" applyNumberFormat="1" applyFont="1" applyFill="1" applyBorder="1" applyAlignment="1">
      <alignment vertical="center" wrapText="1"/>
    </xf>
    <xf numFmtId="3" fontId="6" fillId="3" borderId="32" xfId="1" applyNumberFormat="1" applyFont="1" applyFill="1" applyBorder="1" applyAlignment="1">
      <alignment vertical="center" wrapText="1"/>
    </xf>
    <xf numFmtId="49" fontId="9" fillId="3" borderId="33" xfId="0" applyNumberFormat="1" applyFont="1" applyFill="1" applyBorder="1" applyAlignment="1">
      <alignment horizontal="center" vertical="center" wrapText="1"/>
    </xf>
    <xf numFmtId="49" fontId="9" fillId="3" borderId="33" xfId="0" applyNumberFormat="1" applyFont="1" applyFill="1" applyBorder="1" applyAlignment="1">
      <alignment horizontal="center" vertical="center" wrapText="1" shrinkToFit="1"/>
    </xf>
    <xf numFmtId="0" fontId="8" fillId="3" borderId="35" xfId="1" applyFont="1" applyFill="1" applyBorder="1" applyAlignment="1">
      <alignment horizontal="center" vertical="center" wrapText="1"/>
    </xf>
    <xf numFmtId="0" fontId="35" fillId="3" borderId="34" xfId="0" applyFont="1" applyFill="1" applyBorder="1" applyAlignment="1">
      <alignment horizontal="center" vertical="center" wrapText="1"/>
    </xf>
    <xf numFmtId="3" fontId="9" fillId="3" borderId="26" xfId="1" applyNumberFormat="1" applyFont="1" applyFill="1" applyBorder="1" applyAlignment="1">
      <alignment vertical="center" wrapText="1"/>
    </xf>
    <xf numFmtId="3" fontId="9" fillId="3" borderId="31" xfId="1" applyNumberFormat="1" applyFont="1" applyFill="1" applyBorder="1" applyAlignment="1">
      <alignment vertical="center" wrapText="1"/>
    </xf>
    <xf numFmtId="3" fontId="8" fillId="3" borderId="31" xfId="0" applyNumberFormat="1" applyFont="1" applyFill="1" applyBorder="1" applyAlignment="1">
      <alignment vertical="center" wrapText="1"/>
    </xf>
    <xf numFmtId="3" fontId="8" fillId="3" borderId="37" xfId="0" applyNumberFormat="1" applyFont="1" applyFill="1" applyBorder="1" applyAlignment="1">
      <alignment vertical="center" wrapText="1"/>
    </xf>
    <xf numFmtId="3" fontId="8" fillId="3" borderId="42" xfId="0" applyNumberFormat="1" applyFont="1" applyFill="1" applyBorder="1" applyAlignment="1">
      <alignment vertical="center" wrapText="1"/>
    </xf>
    <xf numFmtId="3" fontId="8" fillId="3" borderId="35" xfId="0" applyNumberFormat="1" applyFont="1" applyFill="1" applyBorder="1" applyAlignment="1">
      <alignment vertical="center" wrapText="1"/>
    </xf>
    <xf numFmtId="3" fontId="8" fillId="3" borderId="33" xfId="0" applyNumberFormat="1" applyFont="1" applyFill="1" applyBorder="1" applyAlignment="1">
      <alignment vertical="center" wrapText="1"/>
    </xf>
    <xf numFmtId="3" fontId="8" fillId="3" borderId="34" xfId="0" applyNumberFormat="1" applyFont="1" applyFill="1" applyBorder="1" applyAlignment="1">
      <alignment vertical="center" wrapText="1"/>
    </xf>
    <xf numFmtId="49" fontId="8" fillId="3" borderId="26" xfId="0" applyNumberFormat="1" applyFont="1" applyFill="1" applyBorder="1" applyAlignment="1">
      <alignment horizontal="center" vertical="center" wrapText="1"/>
    </xf>
    <xf numFmtId="49" fontId="8" fillId="3" borderId="31" xfId="0" applyNumberFormat="1" applyFont="1" applyFill="1" applyBorder="1" applyAlignment="1">
      <alignment horizontal="center" vertical="center" wrapText="1"/>
    </xf>
    <xf numFmtId="49" fontId="20" fillId="0" borderId="33" xfId="0" applyNumberFormat="1" applyFont="1" applyFill="1" applyBorder="1" applyAlignment="1">
      <alignment horizontal="center" vertical="center" wrapText="1" shrinkToFit="1"/>
    </xf>
    <xf numFmtId="0" fontId="33" fillId="0" borderId="34" xfId="0" applyFont="1" applyFill="1" applyBorder="1" applyAlignment="1">
      <alignment horizontal="center" vertical="center" wrapText="1"/>
    </xf>
    <xf numFmtId="3" fontId="12" fillId="0" borderId="31" xfId="0" applyNumberFormat="1" applyFont="1" applyFill="1" applyBorder="1" applyAlignment="1">
      <alignment vertical="center" wrapText="1"/>
    </xf>
    <xf numFmtId="3" fontId="12" fillId="0" borderId="34" xfId="0" applyNumberFormat="1" applyFont="1" applyFill="1" applyBorder="1" applyAlignment="1">
      <alignment vertical="center" wrapText="1"/>
    </xf>
    <xf numFmtId="3" fontId="12" fillId="0" borderId="42" xfId="0" applyNumberFormat="1" applyFont="1" applyFill="1" applyBorder="1" applyAlignment="1">
      <alignment vertical="center" wrapText="1"/>
    </xf>
    <xf numFmtId="49" fontId="12" fillId="0" borderId="26" xfId="0" applyNumberFormat="1" applyFont="1" applyFill="1" applyBorder="1" applyAlignment="1">
      <alignment horizontal="center" vertical="center" wrapText="1"/>
    </xf>
    <xf numFmtId="49" fontId="12" fillId="0" borderId="31" xfId="0" applyNumberFormat="1" applyFont="1" applyFill="1" applyBorder="1" applyAlignment="1">
      <alignment horizontal="center" vertical="center" wrapText="1"/>
    </xf>
    <xf numFmtId="0" fontId="12" fillId="0" borderId="32" xfId="1" applyFont="1" applyFill="1" applyBorder="1" applyAlignment="1">
      <alignment horizontal="center" vertical="center" wrapText="1"/>
    </xf>
    <xf numFmtId="0" fontId="33" fillId="0" borderId="31" xfId="0" applyFont="1" applyFill="1" applyBorder="1" applyAlignment="1">
      <alignment horizontal="center" vertical="center" wrapText="1"/>
    </xf>
    <xf numFmtId="0" fontId="4" fillId="3" borderId="32" xfId="1" applyFont="1" applyFill="1" applyBorder="1" applyAlignment="1">
      <alignment horizontal="center" vertical="center" wrapText="1"/>
    </xf>
    <xf numFmtId="49" fontId="14" fillId="3" borderId="33" xfId="0" applyNumberFormat="1" applyFont="1" applyFill="1" applyBorder="1" applyAlignment="1">
      <alignment horizontal="center" vertical="center" wrapText="1"/>
    </xf>
    <xf numFmtId="49" fontId="14" fillId="3" borderId="33" xfId="0" applyNumberFormat="1" applyFont="1" applyFill="1" applyBorder="1" applyAlignment="1">
      <alignment horizontal="center" vertical="center" wrapText="1" shrinkToFit="1"/>
    </xf>
    <xf numFmtId="0" fontId="13" fillId="3" borderId="33" xfId="0" applyFont="1" applyFill="1" applyBorder="1" applyAlignment="1">
      <alignment horizontal="center" vertical="center" wrapText="1"/>
    </xf>
    <xf numFmtId="0" fontId="13" fillId="3" borderId="33" xfId="1" applyFont="1" applyFill="1" applyBorder="1" applyAlignment="1">
      <alignment horizontal="center" vertical="center" wrapText="1"/>
    </xf>
    <xf numFmtId="0" fontId="13" fillId="3" borderId="35" xfId="1" applyFont="1" applyFill="1" applyBorder="1" applyAlignment="1">
      <alignment horizontal="center" vertical="center" wrapText="1"/>
    </xf>
    <xf numFmtId="0" fontId="36" fillId="3" borderId="34" xfId="1" applyFont="1" applyFill="1" applyBorder="1" applyAlignment="1">
      <alignment horizontal="center" vertical="center" wrapText="1"/>
    </xf>
    <xf numFmtId="3" fontId="14" fillId="3" borderId="33" xfId="1" applyNumberFormat="1" applyFont="1" applyFill="1" applyBorder="1" applyAlignment="1">
      <alignment vertical="center" wrapText="1"/>
    </xf>
    <xf numFmtId="3" fontId="13" fillId="3" borderId="34" xfId="0" applyNumberFormat="1" applyFont="1" applyFill="1" applyBorder="1" applyAlignment="1">
      <alignment vertical="center" wrapText="1"/>
    </xf>
    <xf numFmtId="3" fontId="13" fillId="3" borderId="37" xfId="0" applyNumberFormat="1" applyFont="1" applyFill="1" applyBorder="1" applyAlignment="1">
      <alignment vertical="center" wrapText="1"/>
    </xf>
    <xf numFmtId="3" fontId="13" fillId="3" borderId="42" xfId="0" applyNumberFormat="1" applyFont="1" applyFill="1" applyBorder="1" applyAlignment="1">
      <alignment vertical="center" wrapText="1"/>
    </xf>
    <xf numFmtId="3" fontId="13" fillId="3" borderId="35" xfId="0" applyNumberFormat="1" applyFont="1" applyFill="1" applyBorder="1" applyAlignment="1">
      <alignment vertical="center" wrapText="1"/>
    </xf>
    <xf numFmtId="3" fontId="13" fillId="3" borderId="33" xfId="0" applyNumberFormat="1" applyFont="1" applyFill="1" applyBorder="1" applyAlignment="1">
      <alignment vertical="center" wrapText="1"/>
    </xf>
    <xf numFmtId="0" fontId="13" fillId="3" borderId="24" xfId="0" applyFont="1" applyFill="1" applyBorder="1" applyAlignment="1">
      <alignment horizontal="center" vertical="center" wrapText="1"/>
    </xf>
    <xf numFmtId="0" fontId="13" fillId="3" borderId="26" xfId="0" applyFont="1" applyFill="1" applyBorder="1" applyAlignment="1">
      <alignment horizontal="center" vertical="center" wrapText="1"/>
    </xf>
    <xf numFmtId="49" fontId="13" fillId="3" borderId="26" xfId="0" applyNumberFormat="1" applyFont="1" applyFill="1" applyBorder="1" applyAlignment="1">
      <alignment horizontal="center" vertical="center" wrapText="1"/>
    </xf>
    <xf numFmtId="49" fontId="13" fillId="3" borderId="31" xfId="0" applyNumberFormat="1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4" fillId="3" borderId="33" xfId="1" applyFont="1" applyFill="1" applyBorder="1" applyAlignment="1">
      <alignment horizontal="center" vertical="center" wrapText="1"/>
    </xf>
    <xf numFmtId="0" fontId="5" fillId="3" borderId="34" xfId="1" applyFont="1" applyFill="1" applyBorder="1" applyAlignment="1">
      <alignment horizontal="center" vertical="center" wrapText="1"/>
    </xf>
    <xf numFmtId="3" fontId="6" fillId="3" borderId="34" xfId="1" applyNumberFormat="1" applyFont="1" applyFill="1" applyBorder="1" applyAlignment="1">
      <alignment vertical="center" wrapText="1"/>
    </xf>
    <xf numFmtId="0" fontId="33" fillId="0" borderId="41" xfId="0" applyFont="1" applyFill="1" applyBorder="1" applyAlignment="1">
      <alignment horizontal="center" vertical="center"/>
    </xf>
    <xf numFmtId="49" fontId="14" fillId="0" borderId="33" xfId="0" applyNumberFormat="1" applyFont="1" applyFill="1" applyBorder="1" applyAlignment="1">
      <alignment horizontal="center" vertical="center" wrapText="1"/>
    </xf>
    <xf numFmtId="49" fontId="14" fillId="0" borderId="33" xfId="0" applyNumberFormat="1" applyFont="1" applyFill="1" applyBorder="1" applyAlignment="1">
      <alignment horizontal="center" vertical="center" wrapText="1" shrinkToFit="1"/>
    </xf>
    <xf numFmtId="0" fontId="13" fillId="0" borderId="35" xfId="1" applyFont="1" applyFill="1" applyBorder="1" applyAlignment="1">
      <alignment horizontal="center" vertical="center" wrapText="1"/>
    </xf>
    <xf numFmtId="3" fontId="13" fillId="0" borderId="37" xfId="0" applyNumberFormat="1" applyFont="1" applyFill="1" applyBorder="1" applyAlignment="1">
      <alignment vertical="center" wrapText="1"/>
    </xf>
    <xf numFmtId="3" fontId="13" fillId="0" borderId="42" xfId="0" applyNumberFormat="1" applyFont="1" applyFill="1" applyBorder="1" applyAlignment="1">
      <alignment vertical="center" wrapText="1"/>
    </xf>
    <xf numFmtId="3" fontId="13" fillId="0" borderId="35" xfId="0" applyNumberFormat="1" applyFont="1" applyFill="1" applyBorder="1" applyAlignment="1">
      <alignment vertical="center" wrapText="1"/>
    </xf>
    <xf numFmtId="3" fontId="13" fillId="0" borderId="33" xfId="0" applyNumberFormat="1" applyFont="1" applyFill="1" applyBorder="1" applyAlignment="1">
      <alignment vertical="center" wrapText="1"/>
    </xf>
    <xf numFmtId="3" fontId="13" fillId="0" borderId="34" xfId="0" applyNumberFormat="1" applyFont="1" applyFill="1" applyBorder="1" applyAlignment="1">
      <alignment vertical="center" wrapText="1"/>
    </xf>
    <xf numFmtId="49" fontId="13" fillId="0" borderId="26" xfId="0" applyNumberFormat="1" applyFont="1" applyFill="1" applyBorder="1" applyAlignment="1">
      <alignment horizontal="center" vertical="center" wrapText="1"/>
    </xf>
    <xf numFmtId="49" fontId="13" fillId="0" borderId="31" xfId="0" applyNumberFormat="1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3" borderId="33" xfId="1" applyFont="1" applyFill="1" applyBorder="1" applyAlignment="1">
      <alignment horizontal="center" vertical="center" wrapText="1"/>
    </xf>
    <xf numFmtId="0" fontId="35" fillId="3" borderId="41" xfId="0" applyFont="1" applyFill="1" applyBorder="1" applyAlignment="1">
      <alignment horizontal="center" vertical="center" wrapText="1"/>
    </xf>
    <xf numFmtId="3" fontId="9" fillId="3" borderId="33" xfId="1" applyNumberFormat="1" applyFont="1" applyFill="1" applyBorder="1" applyAlignment="1">
      <alignment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5" fillId="3" borderId="41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3" fontId="4" fillId="3" borderId="20" xfId="0" applyNumberFormat="1" applyFont="1" applyFill="1" applyBorder="1" applyAlignment="1">
      <alignment vertical="center" wrapText="1"/>
    </xf>
    <xf numFmtId="0" fontId="33" fillId="0" borderId="0" xfId="0" applyFont="1" applyFill="1" applyBorder="1" applyAlignment="1">
      <alignment horizontal="center" vertical="center"/>
    </xf>
    <xf numFmtId="0" fontId="35" fillId="0" borderId="37" xfId="0" applyFont="1" applyFill="1" applyBorder="1" applyAlignment="1">
      <alignment horizontal="center" vertical="center"/>
    </xf>
    <xf numFmtId="3" fontId="8" fillId="0" borderId="32" xfId="0" applyNumberFormat="1" applyFont="1" applyFill="1" applyBorder="1" applyAlignment="1">
      <alignment vertical="center" wrapText="1"/>
    </xf>
    <xf numFmtId="0" fontId="35" fillId="3" borderId="39" xfId="0" applyFont="1" applyFill="1" applyBorder="1" applyAlignment="1">
      <alignment horizontal="center" vertical="center" wrapText="1"/>
    </xf>
    <xf numFmtId="0" fontId="33" fillId="0" borderId="39" xfId="0" applyFont="1" applyFill="1" applyBorder="1" applyAlignment="1">
      <alignment horizontal="center" vertical="center" wrapText="1"/>
    </xf>
    <xf numFmtId="0" fontId="35" fillId="0" borderId="37" xfId="0" applyFont="1" applyFill="1" applyBorder="1" applyAlignment="1">
      <alignment horizontal="center" vertical="center" wrapText="1"/>
    </xf>
    <xf numFmtId="3" fontId="8" fillId="0" borderId="23" xfId="0" applyNumberFormat="1" applyFont="1" applyFill="1" applyBorder="1" applyAlignment="1">
      <alignment vertical="center" wrapText="1"/>
    </xf>
    <xf numFmtId="49" fontId="6" fillId="3" borderId="26" xfId="0" applyNumberFormat="1" applyFont="1" applyFill="1" applyBorder="1" applyAlignment="1">
      <alignment horizontal="center" vertical="center" wrapText="1"/>
    </xf>
    <xf numFmtId="49" fontId="6" fillId="3" borderId="26" xfId="0" applyNumberFormat="1" applyFont="1" applyFill="1" applyBorder="1" applyAlignment="1">
      <alignment horizontal="center" vertical="center" wrapText="1" shrinkToFit="1"/>
    </xf>
    <xf numFmtId="0" fontId="4" fillId="3" borderId="26" xfId="1" applyFont="1" applyFill="1" applyBorder="1" applyAlignment="1">
      <alignment horizontal="center" vertical="center" wrapText="1"/>
    </xf>
    <xf numFmtId="0" fontId="5" fillId="3" borderId="37" xfId="0" applyFont="1" applyFill="1" applyBorder="1" applyAlignment="1">
      <alignment horizontal="center" vertical="center"/>
    </xf>
    <xf numFmtId="3" fontId="6" fillId="3" borderId="37" xfId="1" applyNumberFormat="1" applyFont="1" applyFill="1" applyBorder="1" applyAlignment="1">
      <alignment vertical="center" wrapText="1"/>
    </xf>
    <xf numFmtId="3" fontId="4" fillId="3" borderId="31" xfId="0" applyNumberFormat="1" applyFont="1" applyFill="1" applyBorder="1" applyAlignment="1">
      <alignment vertical="center"/>
    </xf>
    <xf numFmtId="3" fontId="4" fillId="3" borderId="26" xfId="0" applyNumberFormat="1" applyFont="1" applyFill="1" applyBorder="1" applyAlignment="1">
      <alignment vertical="center" wrapText="1"/>
    </xf>
    <xf numFmtId="3" fontId="4" fillId="3" borderId="23" xfId="0" applyNumberFormat="1" applyFont="1" applyFill="1" applyBorder="1" applyAlignment="1">
      <alignment vertical="center" wrapText="1"/>
    </xf>
    <xf numFmtId="3" fontId="4" fillId="3" borderId="32" xfId="0" applyNumberFormat="1" applyFont="1" applyFill="1" applyBorder="1" applyAlignment="1">
      <alignment vertical="center" wrapText="1"/>
    </xf>
    <xf numFmtId="49" fontId="6" fillId="3" borderId="23" xfId="0" applyNumberFormat="1" applyFont="1" applyFill="1" applyBorder="1" applyAlignment="1">
      <alignment horizontal="center" vertical="center" wrapText="1"/>
    </xf>
    <xf numFmtId="49" fontId="6" fillId="3" borderId="23" xfId="0" applyNumberFormat="1" applyFont="1" applyFill="1" applyBorder="1" applyAlignment="1">
      <alignment horizontal="center" vertical="center" wrapText="1" shrinkToFit="1"/>
    </xf>
    <xf numFmtId="0" fontId="4" fillId="3" borderId="23" xfId="1" applyFont="1" applyFill="1" applyBorder="1" applyAlignment="1">
      <alignment horizontal="center" vertical="center" wrapText="1"/>
    </xf>
    <xf numFmtId="0" fontId="5" fillId="3" borderId="27" xfId="0" applyFont="1" applyFill="1" applyBorder="1" applyAlignment="1">
      <alignment horizontal="center" vertical="center"/>
    </xf>
    <xf numFmtId="3" fontId="6" fillId="3" borderId="27" xfId="1" applyNumberFormat="1" applyFont="1" applyFill="1" applyBorder="1" applyAlignment="1">
      <alignment vertical="center" wrapText="1"/>
    </xf>
    <xf numFmtId="3" fontId="4" fillId="3" borderId="21" xfId="0" applyNumberFormat="1" applyFont="1" applyFill="1" applyBorder="1" applyAlignment="1">
      <alignment vertical="center" wrapText="1"/>
    </xf>
    <xf numFmtId="3" fontId="4" fillId="3" borderId="24" xfId="0" applyNumberFormat="1" applyFont="1" applyFill="1" applyBorder="1" applyAlignment="1">
      <alignment vertical="center" wrapText="1"/>
    </xf>
    <xf numFmtId="49" fontId="4" fillId="3" borderId="25" xfId="0" applyNumberFormat="1" applyFont="1" applyFill="1" applyBorder="1" applyAlignment="1">
      <alignment horizontal="center" vertical="center" wrapText="1"/>
    </xf>
    <xf numFmtId="0" fontId="33" fillId="0" borderId="37" xfId="0" applyFont="1" applyFill="1" applyBorder="1" applyAlignment="1">
      <alignment horizontal="center" vertical="center"/>
    </xf>
    <xf numFmtId="3" fontId="12" fillId="0" borderId="23" xfId="0" applyNumberFormat="1" applyFont="1" applyFill="1" applyBorder="1" applyAlignment="1">
      <alignment vertical="center" wrapText="1"/>
    </xf>
    <xf numFmtId="0" fontId="5" fillId="3" borderId="37" xfId="0" applyFont="1" applyFill="1" applyBorder="1" applyAlignment="1">
      <alignment horizontal="center" vertical="center" wrapText="1"/>
    </xf>
    <xf numFmtId="49" fontId="6" fillId="3" borderId="13" xfId="0" applyNumberFormat="1" applyFont="1" applyFill="1" applyBorder="1" applyAlignment="1">
      <alignment horizontal="center" vertical="center" wrapText="1"/>
    </xf>
    <xf numFmtId="49" fontId="6" fillId="3" borderId="13" xfId="0" applyNumberFormat="1" applyFont="1" applyFill="1" applyBorder="1" applyAlignment="1">
      <alignment horizontal="center" vertical="center" wrapText="1" shrinkToFi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3" xfId="1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/>
    </xf>
    <xf numFmtId="3" fontId="6" fillId="3" borderId="13" xfId="1" applyNumberFormat="1" applyFont="1" applyFill="1" applyBorder="1" applyAlignment="1">
      <alignment vertical="center" wrapText="1"/>
    </xf>
    <xf numFmtId="3" fontId="6" fillId="3" borderId="44" xfId="1" applyNumberFormat="1" applyFont="1" applyFill="1" applyBorder="1" applyAlignment="1">
      <alignment vertical="center" wrapText="1"/>
    </xf>
    <xf numFmtId="3" fontId="6" fillId="3" borderId="44" xfId="0" applyNumberFormat="1" applyFont="1" applyFill="1" applyBorder="1" applyAlignment="1">
      <alignment vertical="center" wrapText="1"/>
    </xf>
    <xf numFmtId="3" fontId="4" fillId="3" borderId="19" xfId="0" applyNumberFormat="1" applyFont="1" applyFill="1" applyBorder="1" applyAlignment="1">
      <alignment vertical="center" wrapText="1"/>
    </xf>
    <xf numFmtId="3" fontId="4" fillId="3" borderId="47" xfId="0" applyNumberFormat="1" applyFont="1" applyFill="1" applyBorder="1" applyAlignment="1">
      <alignment vertical="center" wrapText="1"/>
    </xf>
    <xf numFmtId="3" fontId="4" fillId="3" borderId="44" xfId="0" applyNumberFormat="1" applyFont="1" applyFill="1" applyBorder="1" applyAlignment="1">
      <alignment vertical="center" wrapText="1"/>
    </xf>
    <xf numFmtId="3" fontId="4" fillId="3" borderId="13" xfId="0" applyNumberFormat="1" applyFont="1" applyFill="1" applyBorder="1" applyAlignment="1">
      <alignment vertical="center" wrapText="1"/>
    </xf>
    <xf numFmtId="49" fontId="4" fillId="3" borderId="13" xfId="0" applyNumberFormat="1" applyFont="1" applyFill="1" applyBorder="1" applyAlignment="1">
      <alignment horizontal="center" vertical="center" wrapText="1"/>
    </xf>
    <xf numFmtId="49" fontId="4" fillId="3" borderId="15" xfId="0" applyNumberFormat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3" fontId="4" fillId="3" borderId="25" xfId="0" applyNumberFormat="1" applyFont="1" applyFill="1" applyBorder="1" applyAlignment="1">
      <alignment vertical="center"/>
    </xf>
    <xf numFmtId="3" fontId="4" fillId="3" borderId="27" xfId="0" applyNumberFormat="1" applyFont="1" applyFill="1" applyBorder="1" applyAlignment="1">
      <alignment vertical="center" wrapText="1"/>
    </xf>
    <xf numFmtId="3" fontId="4" fillId="3" borderId="58" xfId="0" applyNumberFormat="1" applyFont="1" applyFill="1" applyBorder="1" applyAlignment="1">
      <alignment vertical="center" wrapText="1"/>
    </xf>
    <xf numFmtId="49" fontId="4" fillId="3" borderId="27" xfId="0" applyNumberFormat="1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/>
    </xf>
    <xf numFmtId="3" fontId="4" fillId="3" borderId="26" xfId="1" applyNumberFormat="1" applyFont="1" applyFill="1" applyBorder="1" applyAlignment="1">
      <alignment vertical="center" wrapText="1"/>
    </xf>
    <xf numFmtId="3" fontId="4" fillId="3" borderId="37" xfId="1" applyNumberFormat="1" applyFont="1" applyFill="1" applyBorder="1" applyAlignment="1">
      <alignment vertical="center" wrapText="1"/>
    </xf>
    <xf numFmtId="49" fontId="4" fillId="3" borderId="37" xfId="0" applyNumberFormat="1" applyFont="1" applyFill="1" applyBorder="1" applyAlignment="1">
      <alignment horizontal="center" vertical="center" wrapText="1"/>
    </xf>
    <xf numFmtId="49" fontId="9" fillId="3" borderId="26" xfId="0" applyNumberFormat="1" applyFont="1" applyFill="1" applyBorder="1" applyAlignment="1">
      <alignment horizontal="center" vertical="center" wrapText="1"/>
    </xf>
    <xf numFmtId="49" fontId="9" fillId="3" borderId="26" xfId="0" applyNumberFormat="1" applyFont="1" applyFill="1" applyBorder="1" applyAlignment="1">
      <alignment horizontal="center" vertical="center" wrapText="1" shrinkToFit="1"/>
    </xf>
    <xf numFmtId="0" fontId="8" fillId="3" borderId="23" xfId="0" applyFont="1" applyFill="1" applyBorder="1" applyAlignment="1">
      <alignment horizontal="center" vertical="center" wrapText="1"/>
    </xf>
    <xf numFmtId="0" fontId="8" fillId="3" borderId="26" xfId="1" applyFont="1" applyFill="1" applyBorder="1" applyAlignment="1">
      <alignment horizontal="center" vertical="center" wrapText="1"/>
    </xf>
    <xf numFmtId="0" fontId="35" fillId="3" borderId="26" xfId="0" applyFont="1" applyFill="1" applyBorder="1" applyAlignment="1">
      <alignment horizontal="center" vertical="center" wrapText="1"/>
    </xf>
    <xf numFmtId="3" fontId="8" fillId="3" borderId="20" xfId="0" applyNumberFormat="1" applyFont="1" applyFill="1" applyBorder="1" applyAlignment="1">
      <alignment vertical="center" wrapText="1"/>
    </xf>
    <xf numFmtId="3" fontId="8" fillId="3" borderId="26" xfId="1" applyNumberFormat="1" applyFont="1" applyFill="1" applyBorder="1" applyAlignment="1">
      <alignment vertical="center" wrapText="1"/>
    </xf>
    <xf numFmtId="3" fontId="8" fillId="3" borderId="37" xfId="1" applyNumberFormat="1" applyFont="1" applyFill="1" applyBorder="1" applyAlignment="1">
      <alignment vertical="center" wrapText="1"/>
    </xf>
    <xf numFmtId="3" fontId="8" fillId="3" borderId="26" xfId="0" applyNumberFormat="1" applyFont="1" applyFill="1" applyBorder="1" applyAlignment="1">
      <alignment vertical="center" wrapText="1"/>
    </xf>
    <xf numFmtId="0" fontId="8" fillId="3" borderId="37" xfId="0" applyFont="1" applyFill="1" applyBorder="1" applyAlignment="1">
      <alignment horizontal="center" vertical="center" wrapText="1"/>
    </xf>
    <xf numFmtId="49" fontId="8" fillId="3" borderId="37" xfId="0" applyNumberFormat="1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 wrapText="1"/>
    </xf>
    <xf numFmtId="3" fontId="4" fillId="3" borderId="32" xfId="1" applyNumberFormat="1" applyFont="1" applyFill="1" applyBorder="1" applyAlignment="1">
      <alignment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3" fontId="4" fillId="3" borderId="56" xfId="0" applyNumberFormat="1" applyFont="1" applyFill="1" applyBorder="1" applyAlignment="1">
      <alignment vertical="center" wrapText="1"/>
    </xf>
    <xf numFmtId="3" fontId="4" fillId="3" borderId="13" xfId="1" applyNumberFormat="1" applyFont="1" applyFill="1" applyBorder="1" applyAlignment="1">
      <alignment vertical="center" wrapText="1"/>
    </xf>
    <xf numFmtId="0" fontId="4" fillId="3" borderId="19" xfId="0" applyFont="1" applyFill="1" applyBorder="1" applyAlignment="1">
      <alignment horizontal="center" vertical="center" wrapText="1"/>
    </xf>
    <xf numFmtId="49" fontId="4" fillId="3" borderId="19" xfId="0" applyNumberFormat="1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4" fillId="3" borderId="24" xfId="1" applyFont="1" applyFill="1" applyBorder="1" applyAlignment="1">
      <alignment horizontal="center" vertical="center" wrapText="1"/>
    </xf>
    <xf numFmtId="0" fontId="5" fillId="3" borderId="49" xfId="0" applyFont="1" applyFill="1" applyBorder="1" applyAlignment="1">
      <alignment horizontal="center" vertical="center" wrapText="1"/>
    </xf>
    <xf numFmtId="3" fontId="6" fillId="3" borderId="9" xfId="0" applyNumberFormat="1" applyFont="1" applyFill="1" applyBorder="1" applyAlignment="1">
      <alignment vertical="center" wrapText="1"/>
    </xf>
    <xf numFmtId="3" fontId="4" fillId="3" borderId="49" xfId="0" applyNumberFormat="1" applyFont="1" applyFill="1" applyBorder="1" applyAlignment="1">
      <alignment vertical="center" wrapText="1"/>
    </xf>
    <xf numFmtId="3" fontId="4" fillId="3" borderId="27" xfId="1" applyNumberFormat="1" applyFont="1" applyFill="1" applyBorder="1" applyAlignment="1">
      <alignment vertical="center" wrapText="1"/>
    </xf>
    <xf numFmtId="49" fontId="4" fillId="3" borderId="23" xfId="0" applyNumberFormat="1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3" fontId="4" fillId="3" borderId="41" xfId="0" applyNumberFormat="1" applyFont="1" applyFill="1" applyBorder="1" applyAlignment="1">
      <alignment vertical="center" wrapText="1"/>
    </xf>
    <xf numFmtId="3" fontId="4" fillId="3" borderId="36" xfId="0" applyNumberFormat="1" applyFont="1" applyFill="1" applyBorder="1" applyAlignment="1">
      <alignment vertical="center" wrapText="1"/>
    </xf>
    <xf numFmtId="3" fontId="10" fillId="0" borderId="37" xfId="1" applyNumberFormat="1" applyFont="1" applyFill="1" applyBorder="1" applyAlignment="1">
      <alignment vertical="center" wrapText="1"/>
    </xf>
    <xf numFmtId="3" fontId="4" fillId="3" borderId="20" xfId="0" applyNumberFormat="1" applyFont="1" applyFill="1" applyBorder="1" applyAlignment="1">
      <alignment vertical="center"/>
    </xf>
    <xf numFmtId="0" fontId="8" fillId="3" borderId="31" xfId="0" applyFont="1" applyFill="1" applyBorder="1" applyAlignment="1">
      <alignment horizontal="center" vertical="center" wrapText="1"/>
    </xf>
    <xf numFmtId="0" fontId="8" fillId="3" borderId="32" xfId="1" applyFont="1" applyFill="1" applyBorder="1" applyAlignment="1">
      <alignment horizontal="center" vertical="center" wrapText="1"/>
    </xf>
    <xf numFmtId="3" fontId="8" fillId="3" borderId="41" xfId="0" applyNumberFormat="1" applyFont="1" applyFill="1" applyBorder="1" applyAlignment="1">
      <alignment vertical="center" wrapText="1"/>
    </xf>
    <xf numFmtId="49" fontId="14" fillId="0" borderId="26" xfId="0" applyNumberFormat="1" applyFont="1" applyFill="1" applyBorder="1" applyAlignment="1">
      <alignment horizontal="center" vertical="center" wrapText="1"/>
    </xf>
    <xf numFmtId="49" fontId="14" fillId="0" borderId="26" xfId="0" applyNumberFormat="1" applyFont="1" applyFill="1" applyBorder="1" applyAlignment="1">
      <alignment horizontal="center" vertical="center" wrapText="1" shrinkToFit="1"/>
    </xf>
    <xf numFmtId="0" fontId="13" fillId="0" borderId="32" xfId="1" applyFont="1" applyFill="1" applyBorder="1" applyAlignment="1">
      <alignment horizontal="center" vertical="center" wrapText="1"/>
    </xf>
    <xf numFmtId="0" fontId="13" fillId="0" borderId="26" xfId="1" applyFont="1" applyFill="1" applyBorder="1" applyAlignment="1">
      <alignment horizontal="center" vertical="center" wrapText="1"/>
    </xf>
    <xf numFmtId="0" fontId="33" fillId="0" borderId="41" xfId="0" applyFont="1" applyFill="1" applyBorder="1" applyAlignment="1">
      <alignment horizontal="center" vertical="center" wrapText="1"/>
    </xf>
    <xf numFmtId="3" fontId="13" fillId="0" borderId="41" xfId="0" applyNumberFormat="1" applyFont="1" applyFill="1" applyBorder="1" applyAlignment="1">
      <alignment vertical="center" wrapText="1"/>
    </xf>
    <xf numFmtId="3" fontId="13" fillId="0" borderId="20" xfId="0" applyNumberFormat="1" applyFont="1" applyFill="1" applyBorder="1" applyAlignment="1">
      <alignment vertical="center" wrapText="1"/>
    </xf>
    <xf numFmtId="3" fontId="13" fillId="0" borderId="26" xfId="0" applyNumberFormat="1" applyFont="1" applyFill="1" applyBorder="1" applyAlignment="1">
      <alignment vertical="center" wrapText="1"/>
    </xf>
    <xf numFmtId="3" fontId="13" fillId="0" borderId="37" xfId="1" applyNumberFormat="1" applyFont="1" applyFill="1" applyBorder="1" applyAlignment="1">
      <alignment vertical="center" wrapText="1"/>
    </xf>
    <xf numFmtId="49" fontId="13" fillId="0" borderId="37" xfId="0" applyNumberFormat="1" applyFont="1" applyFill="1" applyBorder="1" applyAlignment="1">
      <alignment horizontal="center" vertical="center" wrapText="1"/>
    </xf>
    <xf numFmtId="0" fontId="5" fillId="3" borderId="41" xfId="0" applyFont="1" applyFill="1" applyBorder="1" applyAlignment="1">
      <alignment horizontal="center" vertical="center"/>
    </xf>
    <xf numFmtId="3" fontId="12" fillId="0" borderId="37" xfId="1" applyNumberFormat="1" applyFont="1" applyFill="1" applyBorder="1" applyAlignment="1">
      <alignment vertical="center" wrapText="1"/>
    </xf>
    <xf numFmtId="49" fontId="12" fillId="0" borderId="37" xfId="0" applyNumberFormat="1" applyFont="1" applyFill="1" applyBorder="1" applyAlignment="1">
      <alignment horizontal="center" vertical="center" wrapText="1"/>
    </xf>
    <xf numFmtId="0" fontId="13" fillId="3" borderId="32" xfId="1" applyFont="1" applyFill="1" applyBorder="1" applyAlignment="1">
      <alignment horizontal="center" vertical="center" wrapText="1"/>
    </xf>
    <xf numFmtId="3" fontId="14" fillId="3" borderId="26" xfId="1" applyNumberFormat="1" applyFont="1" applyFill="1" applyBorder="1" applyAlignment="1">
      <alignment vertical="center" wrapText="1"/>
    </xf>
    <xf numFmtId="3" fontId="13" fillId="3" borderId="31" xfId="0" applyNumberFormat="1" applyFont="1" applyFill="1" applyBorder="1" applyAlignment="1">
      <alignment vertical="center"/>
    </xf>
    <xf numFmtId="0" fontId="36" fillId="0" borderId="41" xfId="0" applyFont="1" applyFill="1" applyBorder="1" applyAlignment="1">
      <alignment horizontal="center" vertical="center"/>
    </xf>
    <xf numFmtId="49" fontId="33" fillId="0" borderId="41" xfId="0" applyNumberFormat="1" applyFont="1" applyFill="1" applyBorder="1" applyAlignment="1">
      <alignment horizontal="center" vertical="center" wrapText="1"/>
    </xf>
    <xf numFmtId="49" fontId="5" fillId="3" borderId="41" xfId="0" applyNumberFormat="1" applyFont="1" applyFill="1" applyBorder="1" applyAlignment="1">
      <alignment horizontal="center" vertical="center" wrapText="1"/>
    </xf>
    <xf numFmtId="3" fontId="12" fillId="0" borderId="20" xfId="1" applyNumberFormat="1" applyFont="1" applyFill="1" applyBorder="1" applyAlignment="1">
      <alignment vertical="center" wrapText="1"/>
    </xf>
    <xf numFmtId="0" fontId="5" fillId="0" borderId="56" xfId="0" applyFont="1" applyFill="1" applyBorder="1" applyAlignment="1">
      <alignment horizontal="center" vertical="center"/>
    </xf>
    <xf numFmtId="3" fontId="4" fillId="0" borderId="19" xfId="1" applyNumberFormat="1" applyFont="1" applyFill="1" applyBorder="1" applyAlignment="1">
      <alignment vertical="center" wrapText="1"/>
    </xf>
    <xf numFmtId="0" fontId="19" fillId="0" borderId="2" xfId="1" applyFont="1" applyFill="1" applyBorder="1" applyAlignment="1">
      <alignment horizontal="center" vertical="center" wrapText="1"/>
    </xf>
    <xf numFmtId="49" fontId="10" fillId="0" borderId="4" xfId="0" applyNumberFormat="1" applyFont="1" applyFill="1" applyBorder="1" applyAlignment="1">
      <alignment horizontal="center" vertical="center"/>
    </xf>
    <xf numFmtId="49" fontId="6" fillId="3" borderId="26" xfId="0" applyNumberFormat="1" applyFont="1" applyFill="1" applyBorder="1" applyAlignment="1">
      <alignment horizontal="center" vertical="center"/>
    </xf>
    <xf numFmtId="49" fontId="6" fillId="3" borderId="24" xfId="0" applyNumberFormat="1" applyFont="1" applyFill="1" applyBorder="1" applyAlignment="1">
      <alignment horizontal="center" vertical="center"/>
    </xf>
    <xf numFmtId="0" fontId="4" fillId="3" borderId="23" xfId="1" applyFont="1" applyFill="1" applyBorder="1" applyAlignment="1">
      <alignment horizontal="center" vertical="center"/>
    </xf>
    <xf numFmtId="0" fontId="5" fillId="3" borderId="23" xfId="1" applyFont="1" applyFill="1" applyBorder="1" applyAlignment="1">
      <alignment horizontal="center" vertical="center" wrapText="1"/>
    </xf>
    <xf numFmtId="3" fontId="6" fillId="3" borderId="23" xfId="1" applyNumberFormat="1" applyFont="1" applyFill="1" applyBorder="1" applyAlignment="1">
      <alignment vertical="center"/>
    </xf>
    <xf numFmtId="3" fontId="4" fillId="3" borderId="27" xfId="0" applyNumberFormat="1" applyFont="1" applyFill="1" applyBorder="1" applyAlignment="1">
      <alignment vertical="center"/>
    </xf>
    <xf numFmtId="3" fontId="4" fillId="3" borderId="21" xfId="0" applyNumberFormat="1" applyFont="1" applyFill="1" applyBorder="1" applyAlignment="1">
      <alignment vertical="center"/>
    </xf>
    <xf numFmtId="3" fontId="4" fillId="3" borderId="23" xfId="0" applyNumberFormat="1" applyFont="1" applyFill="1" applyBorder="1" applyAlignment="1">
      <alignment vertical="center"/>
    </xf>
    <xf numFmtId="3" fontId="4" fillId="3" borderId="24" xfId="0" applyNumberFormat="1" applyFont="1" applyFill="1" applyBorder="1" applyAlignment="1">
      <alignment vertical="center"/>
    </xf>
    <xf numFmtId="0" fontId="4" fillId="3" borderId="26" xfId="0" applyFont="1" applyFill="1" applyBorder="1" applyAlignment="1">
      <alignment horizontal="center" vertical="center"/>
    </xf>
    <xf numFmtId="49" fontId="4" fillId="3" borderId="31" xfId="0" applyNumberFormat="1" applyFont="1" applyFill="1" applyBorder="1" applyAlignment="1">
      <alignment horizontal="center" vertical="center"/>
    </xf>
    <xf numFmtId="49" fontId="14" fillId="3" borderId="26" xfId="0" applyNumberFormat="1" applyFont="1" applyFill="1" applyBorder="1" applyAlignment="1">
      <alignment horizontal="center" vertical="center"/>
    </xf>
    <xf numFmtId="49" fontId="14" fillId="3" borderId="32" xfId="0" applyNumberFormat="1" applyFont="1" applyFill="1" applyBorder="1" applyAlignment="1">
      <alignment horizontal="center" vertical="center"/>
    </xf>
    <xf numFmtId="0" fontId="13" fillId="3" borderId="23" xfId="0" applyFont="1" applyFill="1" applyBorder="1" applyAlignment="1">
      <alignment horizontal="center" vertical="center"/>
    </xf>
    <xf numFmtId="0" fontId="13" fillId="3" borderId="23" xfId="0" applyFont="1" applyFill="1" applyBorder="1" applyAlignment="1">
      <alignment horizontal="center" vertical="center" wrapText="1"/>
    </xf>
    <xf numFmtId="0" fontId="13" fillId="3" borderId="26" xfId="1" applyFont="1" applyFill="1" applyBorder="1" applyAlignment="1">
      <alignment horizontal="center" vertical="center"/>
    </xf>
    <xf numFmtId="0" fontId="36" fillId="3" borderId="26" xfId="1" applyFont="1" applyFill="1" applyBorder="1" applyAlignment="1">
      <alignment horizontal="center" vertical="center" wrapText="1"/>
    </xf>
    <xf numFmtId="3" fontId="14" fillId="3" borderId="26" xfId="1" applyNumberFormat="1" applyFont="1" applyFill="1" applyBorder="1" applyAlignment="1">
      <alignment vertical="center"/>
    </xf>
    <xf numFmtId="3" fontId="13" fillId="3" borderId="20" xfId="0" applyNumberFormat="1" applyFont="1" applyFill="1" applyBorder="1" applyAlignment="1">
      <alignment vertical="center"/>
    </xf>
    <xf numFmtId="3" fontId="13" fillId="3" borderId="36" xfId="0" applyNumberFormat="1" applyFont="1" applyFill="1" applyBorder="1" applyAlignment="1">
      <alignment vertical="center"/>
    </xf>
    <xf numFmtId="3" fontId="13" fillId="3" borderId="32" xfId="0" applyNumberFormat="1" applyFont="1" applyFill="1" applyBorder="1" applyAlignment="1">
      <alignment vertical="center"/>
    </xf>
    <xf numFmtId="3" fontId="13" fillId="3" borderId="26" xfId="0" applyNumberFormat="1" applyFont="1" applyFill="1" applyBorder="1" applyAlignment="1">
      <alignment vertical="center"/>
    </xf>
    <xf numFmtId="3" fontId="13" fillId="3" borderId="24" xfId="0" applyNumberFormat="1" applyFont="1" applyFill="1" applyBorder="1" applyAlignment="1">
      <alignment vertical="center"/>
    </xf>
    <xf numFmtId="0" fontId="13" fillId="3" borderId="26" xfId="0" applyFont="1" applyFill="1" applyBorder="1" applyAlignment="1">
      <alignment horizontal="center" vertical="center"/>
    </xf>
    <xf numFmtId="49" fontId="13" fillId="3" borderId="26" xfId="0" applyNumberFormat="1" applyFont="1" applyFill="1" applyBorder="1" applyAlignment="1">
      <alignment horizontal="center" vertical="center"/>
    </xf>
    <xf numFmtId="49" fontId="13" fillId="3" borderId="31" xfId="0" applyNumberFormat="1" applyFont="1" applyFill="1" applyBorder="1" applyAlignment="1">
      <alignment horizontal="center" vertical="center"/>
    </xf>
    <xf numFmtId="3" fontId="12" fillId="0" borderId="25" xfId="0" applyNumberFormat="1" applyFont="1" applyFill="1" applyBorder="1" applyAlignment="1">
      <alignment vertical="center"/>
    </xf>
    <xf numFmtId="3" fontId="12" fillId="0" borderId="27" xfId="0" applyNumberFormat="1" applyFont="1" applyFill="1" applyBorder="1" applyAlignment="1">
      <alignment vertical="center"/>
    </xf>
    <xf numFmtId="3" fontId="12" fillId="0" borderId="20" xfId="0" applyNumberFormat="1" applyFont="1" applyFill="1" applyBorder="1" applyAlignment="1">
      <alignment vertical="center"/>
    </xf>
    <xf numFmtId="3" fontId="12" fillId="0" borderId="32" xfId="0" applyNumberFormat="1" applyFont="1" applyFill="1" applyBorder="1" applyAlignment="1">
      <alignment vertical="center"/>
    </xf>
    <xf numFmtId="3" fontId="12" fillId="0" borderId="24" xfId="0" applyNumberFormat="1" applyFont="1" applyFill="1" applyBorder="1" applyAlignment="1">
      <alignment vertical="center"/>
    </xf>
    <xf numFmtId="3" fontId="12" fillId="0" borderId="26" xfId="0" applyNumberFormat="1" applyFont="1" applyFill="1" applyBorder="1" applyAlignment="1">
      <alignment vertical="center"/>
    </xf>
    <xf numFmtId="0" fontId="12" fillId="0" borderId="26" xfId="0" applyFont="1" applyFill="1" applyBorder="1" applyAlignment="1">
      <alignment horizontal="center" vertical="center"/>
    </xf>
    <xf numFmtId="49" fontId="12" fillId="0" borderId="25" xfId="0" applyNumberFormat="1" applyFont="1" applyFill="1" applyBorder="1" applyAlignment="1">
      <alignment horizontal="center" vertical="center"/>
    </xf>
    <xf numFmtId="49" fontId="12" fillId="0" borderId="23" xfId="0" applyNumberFormat="1" applyFont="1" applyFill="1" applyBorder="1" applyAlignment="1">
      <alignment horizontal="center" vertical="center"/>
    </xf>
    <xf numFmtId="49" fontId="6" fillId="3" borderId="23" xfId="0" applyNumberFormat="1" applyFont="1" applyFill="1" applyBorder="1" applyAlignment="1">
      <alignment horizontal="center" vertical="center"/>
    </xf>
    <xf numFmtId="0" fontId="4" fillId="3" borderId="37" xfId="1" applyFont="1" applyFill="1" applyBorder="1" applyAlignment="1">
      <alignment horizontal="center" vertical="center"/>
    </xf>
    <xf numFmtId="0" fontId="4" fillId="3" borderId="26" xfId="1" applyFont="1" applyFill="1" applyBorder="1" applyAlignment="1">
      <alignment horizontal="center" vertical="center"/>
    </xf>
    <xf numFmtId="0" fontId="5" fillId="3" borderId="26" xfId="1" applyFont="1" applyFill="1" applyBorder="1" applyAlignment="1">
      <alignment horizontal="center" vertical="center" wrapText="1"/>
    </xf>
    <xf numFmtId="3" fontId="6" fillId="3" borderId="26" xfId="1" applyNumberFormat="1" applyFont="1" applyFill="1" applyBorder="1" applyAlignment="1">
      <alignment vertical="center"/>
    </xf>
    <xf numFmtId="3" fontId="4" fillId="3" borderId="37" xfId="0" applyNumberFormat="1" applyFont="1" applyFill="1" applyBorder="1" applyAlignment="1">
      <alignment vertical="center"/>
    </xf>
    <xf numFmtId="3" fontId="4" fillId="3" borderId="26" xfId="0" applyNumberFormat="1" applyFont="1" applyFill="1" applyBorder="1" applyAlignment="1">
      <alignment vertical="center"/>
    </xf>
    <xf numFmtId="3" fontId="4" fillId="3" borderId="32" xfId="0" applyNumberFormat="1" applyFont="1" applyFill="1" applyBorder="1" applyAlignment="1">
      <alignment vertical="center"/>
    </xf>
    <xf numFmtId="3" fontId="4" fillId="3" borderId="26" xfId="0" applyNumberFormat="1" applyFont="1" applyFill="1" applyBorder="1" applyAlignment="1">
      <alignment horizontal="right" vertical="center"/>
    </xf>
    <xf numFmtId="3" fontId="4" fillId="3" borderId="32" xfId="0" applyNumberFormat="1" applyFont="1" applyFill="1" applyBorder="1" applyAlignment="1">
      <alignment horizontal="right" vertical="center"/>
    </xf>
    <xf numFmtId="49" fontId="4" fillId="3" borderId="41" xfId="0" applyNumberFormat="1" applyFont="1" applyFill="1" applyBorder="1" applyAlignment="1">
      <alignment horizontal="center" vertical="center"/>
    </xf>
    <xf numFmtId="3" fontId="4" fillId="3" borderId="36" xfId="0" applyNumberFormat="1" applyFont="1" applyFill="1" applyBorder="1" applyAlignment="1">
      <alignment vertical="center"/>
    </xf>
    <xf numFmtId="49" fontId="9" fillId="3" borderId="23" xfId="0" applyNumberFormat="1" applyFont="1" applyFill="1" applyBorder="1" applyAlignment="1">
      <alignment horizontal="center" vertical="center"/>
    </xf>
    <xf numFmtId="49" fontId="9" fillId="3" borderId="26" xfId="0" applyNumberFormat="1" applyFont="1" applyFill="1" applyBorder="1" applyAlignment="1">
      <alignment horizontal="center" vertical="center"/>
    </xf>
    <xf numFmtId="0" fontId="8" fillId="3" borderId="26" xfId="0" applyFont="1" applyFill="1" applyBorder="1" applyAlignment="1">
      <alignment horizontal="center" vertical="center"/>
    </xf>
    <xf numFmtId="0" fontId="8" fillId="3" borderId="37" xfId="1" applyFont="1" applyFill="1" applyBorder="1" applyAlignment="1">
      <alignment horizontal="center" vertical="center"/>
    </xf>
    <xf numFmtId="0" fontId="8" fillId="3" borderId="26" xfId="1" applyFont="1" applyFill="1" applyBorder="1" applyAlignment="1">
      <alignment horizontal="center" vertical="center"/>
    </xf>
    <xf numFmtId="0" fontId="35" fillId="3" borderId="26" xfId="1" applyFont="1" applyFill="1" applyBorder="1" applyAlignment="1">
      <alignment horizontal="center" vertical="center" wrapText="1"/>
    </xf>
    <xf numFmtId="3" fontId="9" fillId="3" borderId="26" xfId="1" applyNumberFormat="1" applyFont="1" applyFill="1" applyBorder="1" applyAlignment="1">
      <alignment vertical="center"/>
    </xf>
    <xf numFmtId="3" fontId="8" fillId="3" borderId="37" xfId="0" applyNumberFormat="1" applyFont="1" applyFill="1" applyBorder="1" applyAlignment="1">
      <alignment vertical="center"/>
    </xf>
    <xf numFmtId="3" fontId="8" fillId="3" borderId="20" xfId="0" applyNumberFormat="1" applyFont="1" applyFill="1" applyBorder="1" applyAlignment="1">
      <alignment vertical="center"/>
    </xf>
    <xf numFmtId="3" fontId="8" fillId="3" borderId="26" xfId="0" applyNumberFormat="1" applyFont="1" applyFill="1" applyBorder="1" applyAlignment="1">
      <alignment vertical="center"/>
    </xf>
    <xf numFmtId="3" fontId="8" fillId="3" borderId="23" xfId="0" applyNumberFormat="1" applyFont="1" applyFill="1" applyBorder="1" applyAlignment="1">
      <alignment vertical="center" wrapText="1"/>
    </xf>
    <xf numFmtId="3" fontId="8" fillId="3" borderId="32" xfId="0" applyNumberFormat="1" applyFont="1" applyFill="1" applyBorder="1" applyAlignment="1">
      <alignment vertical="center"/>
    </xf>
    <xf numFmtId="3" fontId="8" fillId="3" borderId="26" xfId="0" applyNumberFormat="1" applyFont="1" applyFill="1" applyBorder="1" applyAlignment="1">
      <alignment horizontal="right" vertical="center"/>
    </xf>
    <xf numFmtId="3" fontId="8" fillId="3" borderId="32" xfId="0" applyNumberFormat="1" applyFont="1" applyFill="1" applyBorder="1" applyAlignment="1">
      <alignment horizontal="right" vertical="center"/>
    </xf>
    <xf numFmtId="49" fontId="8" fillId="3" borderId="41" xfId="0" applyNumberFormat="1" applyFont="1" applyFill="1" applyBorder="1" applyAlignment="1">
      <alignment horizontal="center" vertical="center"/>
    </xf>
    <xf numFmtId="49" fontId="8" fillId="3" borderId="31" xfId="0" applyNumberFormat="1" applyFont="1" applyFill="1" applyBorder="1" applyAlignment="1">
      <alignment horizontal="center" vertical="center"/>
    </xf>
    <xf numFmtId="49" fontId="8" fillId="3" borderId="26" xfId="0" applyNumberFormat="1" applyFont="1" applyFill="1" applyBorder="1" applyAlignment="1">
      <alignment horizontal="center" vertical="center"/>
    </xf>
    <xf numFmtId="49" fontId="20" fillId="0" borderId="23" xfId="0" applyNumberFormat="1" applyFont="1" applyFill="1" applyBorder="1" applyAlignment="1">
      <alignment horizontal="center" vertical="center"/>
    </xf>
    <xf numFmtId="0" fontId="12" fillId="0" borderId="37" xfId="1" applyFont="1" applyFill="1" applyBorder="1" applyAlignment="1">
      <alignment horizontal="center" vertical="center"/>
    </xf>
    <xf numFmtId="0" fontId="12" fillId="0" borderId="26" xfId="1" applyFont="1" applyFill="1" applyBorder="1" applyAlignment="1">
      <alignment horizontal="center" vertical="center"/>
    </xf>
    <xf numFmtId="0" fontId="33" fillId="0" borderId="26" xfId="1" applyFont="1" applyFill="1" applyBorder="1" applyAlignment="1">
      <alignment horizontal="center" vertical="center" wrapText="1"/>
    </xf>
    <xf numFmtId="3" fontId="12" fillId="0" borderId="37" xfId="0" applyNumberFormat="1" applyFont="1" applyFill="1" applyBorder="1" applyAlignment="1">
      <alignment vertical="center"/>
    </xf>
    <xf numFmtId="3" fontId="12" fillId="0" borderId="26" xfId="0" applyNumberFormat="1" applyFont="1" applyFill="1" applyBorder="1" applyAlignment="1">
      <alignment horizontal="right" vertical="center"/>
    </xf>
    <xf numFmtId="3" fontId="12" fillId="0" borderId="32" xfId="0" applyNumberFormat="1" applyFont="1" applyFill="1" applyBorder="1" applyAlignment="1">
      <alignment horizontal="right" vertical="center"/>
    </xf>
    <xf numFmtId="49" fontId="12" fillId="0" borderId="41" xfId="0" applyNumberFormat="1" applyFont="1" applyFill="1" applyBorder="1" applyAlignment="1">
      <alignment horizontal="center" vertical="center"/>
    </xf>
    <xf numFmtId="49" fontId="12" fillId="0" borderId="31" xfId="0" applyNumberFormat="1" applyFont="1" applyFill="1" applyBorder="1" applyAlignment="1">
      <alignment horizontal="center" vertical="center"/>
    </xf>
    <xf numFmtId="49" fontId="20" fillId="0" borderId="33" xfId="0" applyNumberFormat="1" applyFont="1" applyFill="1" applyBorder="1" applyAlignment="1">
      <alignment horizontal="center" vertical="center"/>
    </xf>
    <xf numFmtId="0" fontId="12" fillId="0" borderId="33" xfId="0" applyFont="1" applyFill="1" applyBorder="1" applyAlignment="1">
      <alignment horizontal="center" vertical="center"/>
    </xf>
    <xf numFmtId="0" fontId="33" fillId="0" borderId="32" xfId="0" applyFont="1" applyFill="1" applyBorder="1" applyAlignment="1">
      <alignment horizontal="center" vertical="top" wrapText="1"/>
    </xf>
    <xf numFmtId="3" fontId="20" fillId="0" borderId="33" xfId="1" applyNumberFormat="1" applyFont="1" applyFill="1" applyBorder="1" applyAlignment="1">
      <alignment vertical="center"/>
    </xf>
    <xf numFmtId="3" fontId="12" fillId="0" borderId="39" xfId="0" applyNumberFormat="1" applyFont="1" applyFill="1" applyBorder="1" applyAlignment="1">
      <alignment vertical="center"/>
    </xf>
    <xf numFmtId="3" fontId="12" fillId="0" borderId="42" xfId="0" applyNumberFormat="1" applyFont="1" applyFill="1" applyBorder="1" applyAlignment="1">
      <alignment vertical="center"/>
    </xf>
    <xf numFmtId="3" fontId="12" fillId="0" borderId="35" xfId="0" applyNumberFormat="1" applyFont="1" applyFill="1" applyBorder="1" applyAlignment="1">
      <alignment vertical="center"/>
    </xf>
    <xf numFmtId="3" fontId="12" fillId="0" borderId="33" xfId="0" applyNumberFormat="1" applyFont="1" applyFill="1" applyBorder="1" applyAlignment="1">
      <alignment vertical="center"/>
    </xf>
    <xf numFmtId="3" fontId="12" fillId="0" borderId="33" xfId="0" applyNumberFormat="1" applyFont="1" applyFill="1" applyBorder="1" applyAlignment="1">
      <alignment horizontal="right" vertical="center"/>
    </xf>
    <xf numFmtId="49" fontId="6" fillId="3" borderId="33" xfId="0" applyNumberFormat="1" applyFont="1" applyFill="1" applyBorder="1" applyAlignment="1">
      <alignment horizontal="center" vertical="center"/>
    </xf>
    <xf numFmtId="0" fontId="4" fillId="3" borderId="33" xfId="0" applyFont="1" applyFill="1" applyBorder="1" applyAlignment="1">
      <alignment horizontal="center" vertical="center"/>
    </xf>
    <xf numFmtId="0" fontId="5" fillId="3" borderId="32" xfId="0" applyFont="1" applyFill="1" applyBorder="1" applyAlignment="1">
      <alignment horizontal="center" vertical="center" wrapText="1"/>
    </xf>
    <xf numFmtId="3" fontId="6" fillId="3" borderId="33" xfId="1" applyNumberFormat="1" applyFont="1" applyFill="1" applyBorder="1" applyAlignment="1">
      <alignment vertical="center"/>
    </xf>
    <xf numFmtId="3" fontId="4" fillId="3" borderId="42" xfId="0" applyNumberFormat="1" applyFont="1" applyFill="1" applyBorder="1" applyAlignment="1">
      <alignment vertical="center"/>
    </xf>
    <xf numFmtId="3" fontId="4" fillId="3" borderId="35" xfId="0" applyNumberFormat="1" applyFont="1" applyFill="1" applyBorder="1" applyAlignment="1">
      <alignment vertical="center"/>
    </xf>
    <xf numFmtId="3" fontId="4" fillId="3" borderId="34" xfId="0" applyNumberFormat="1" applyFont="1" applyFill="1" applyBorder="1" applyAlignment="1">
      <alignment vertical="center"/>
    </xf>
    <xf numFmtId="3" fontId="4" fillId="3" borderId="33" xfId="0" applyNumberFormat="1" applyFont="1" applyFill="1" applyBorder="1" applyAlignment="1">
      <alignment vertical="center"/>
    </xf>
    <xf numFmtId="3" fontId="4" fillId="3" borderId="33" xfId="0" applyNumberFormat="1" applyFont="1" applyFill="1" applyBorder="1" applyAlignment="1">
      <alignment horizontal="right" vertical="center"/>
    </xf>
    <xf numFmtId="0" fontId="4" fillId="3" borderId="39" xfId="1" applyFont="1" applyFill="1" applyBorder="1" applyAlignment="1">
      <alignment horizontal="center" vertical="center"/>
    </xf>
    <xf numFmtId="0" fontId="4" fillId="3" borderId="33" xfId="1" applyFont="1" applyFill="1" applyBorder="1" applyAlignment="1">
      <alignment horizontal="center" vertical="center"/>
    </xf>
    <xf numFmtId="0" fontId="5" fillId="3" borderId="55" xfId="0" applyFont="1" applyFill="1" applyBorder="1" applyAlignment="1">
      <alignment horizontal="center" vertical="center" wrapText="1"/>
    </xf>
    <xf numFmtId="49" fontId="11" fillId="0" borderId="33" xfId="0" applyNumberFormat="1" applyFont="1" applyFill="1" applyBorder="1" applyAlignment="1">
      <alignment horizontal="center" vertical="center"/>
    </xf>
    <xf numFmtId="0" fontId="10" fillId="0" borderId="39" xfId="1" applyFont="1" applyFill="1" applyBorder="1" applyAlignment="1">
      <alignment horizontal="center" vertical="center"/>
    </xf>
    <xf numFmtId="0" fontId="10" fillId="0" borderId="33" xfId="1" applyFont="1" applyFill="1" applyBorder="1" applyAlignment="1">
      <alignment horizontal="center" vertical="center"/>
    </xf>
    <xf numFmtId="0" fontId="19" fillId="0" borderId="35" xfId="0" applyFont="1" applyFill="1" applyBorder="1" applyAlignment="1">
      <alignment horizontal="center" wrapText="1"/>
    </xf>
    <xf numFmtId="3" fontId="11" fillId="0" borderId="33" xfId="1" applyNumberFormat="1" applyFont="1" applyFill="1" applyBorder="1" applyAlignment="1">
      <alignment vertical="center"/>
    </xf>
    <xf numFmtId="3" fontId="10" fillId="0" borderId="13" xfId="0" applyNumberFormat="1" applyFont="1" applyFill="1" applyBorder="1" applyAlignment="1">
      <alignment horizontal="right" vertical="center"/>
    </xf>
    <xf numFmtId="3" fontId="10" fillId="0" borderId="13" xfId="0" applyNumberFormat="1" applyFont="1" applyFill="1" applyBorder="1" applyAlignment="1">
      <alignment horizontal="center" vertical="center" wrapText="1"/>
    </xf>
    <xf numFmtId="49" fontId="10" fillId="0" borderId="56" xfId="0" applyNumberFormat="1" applyFont="1" applyFill="1" applyBorder="1" applyAlignment="1">
      <alignment horizontal="center" vertical="center"/>
    </xf>
    <xf numFmtId="49" fontId="20" fillId="0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8" xfId="1" applyFont="1" applyFill="1" applyBorder="1" applyAlignment="1">
      <alignment horizontal="center" vertical="center"/>
    </xf>
    <xf numFmtId="0" fontId="12" fillId="0" borderId="2" xfId="1" applyFont="1" applyFill="1" applyBorder="1" applyAlignment="1">
      <alignment horizontal="center" vertical="center"/>
    </xf>
    <xf numFmtId="0" fontId="33" fillId="0" borderId="2" xfId="0" applyFont="1" applyFill="1" applyBorder="1" applyAlignment="1">
      <alignment horizontal="center" wrapText="1"/>
    </xf>
    <xf numFmtId="3" fontId="20" fillId="0" borderId="2" xfId="1" applyNumberFormat="1" applyFont="1" applyFill="1" applyBorder="1" applyAlignment="1">
      <alignment vertical="center"/>
    </xf>
    <xf numFmtId="3" fontId="12" fillId="0" borderId="21" xfId="0" applyNumberFormat="1" applyFont="1" applyFill="1" applyBorder="1" applyAlignment="1">
      <alignment vertical="center"/>
    </xf>
    <xf numFmtId="3" fontId="12" fillId="0" borderId="9" xfId="0" applyNumberFormat="1" applyFont="1" applyFill="1" applyBorder="1" applyAlignment="1">
      <alignment vertical="center"/>
    </xf>
    <xf numFmtId="3" fontId="12" fillId="0" borderId="2" xfId="0" applyNumberFormat="1" applyFont="1" applyFill="1" applyBorder="1" applyAlignment="1">
      <alignment horizontal="right" vertical="center"/>
    </xf>
    <xf numFmtId="49" fontId="12" fillId="0" borderId="2" xfId="0" applyNumberFormat="1" applyFont="1" applyFill="1" applyBorder="1" applyAlignment="1">
      <alignment horizontal="center" vertical="center"/>
    </xf>
    <xf numFmtId="49" fontId="12" fillId="0" borderId="4" xfId="0" applyNumberFormat="1" applyFont="1" applyFill="1" applyBorder="1" applyAlignment="1">
      <alignment horizontal="center" vertical="center"/>
    </xf>
    <xf numFmtId="49" fontId="20" fillId="0" borderId="26" xfId="0" applyNumberFormat="1" applyFont="1" applyFill="1" applyBorder="1" applyAlignment="1">
      <alignment horizontal="center" vertical="center"/>
    </xf>
    <xf numFmtId="0" fontId="33" fillId="0" borderId="26" xfId="0" applyFont="1" applyFill="1" applyBorder="1" applyAlignment="1">
      <alignment horizontal="center" wrapText="1"/>
    </xf>
    <xf numFmtId="0" fontId="35" fillId="3" borderId="32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wrapText="1"/>
    </xf>
    <xf numFmtId="3" fontId="4" fillId="3" borderId="23" xfId="0" applyNumberFormat="1" applyFont="1" applyFill="1" applyBorder="1" applyAlignment="1">
      <alignment horizontal="right" vertical="center"/>
    </xf>
    <xf numFmtId="49" fontId="6" fillId="6" borderId="26" xfId="0" applyNumberFormat="1" applyFont="1" applyFill="1" applyBorder="1" applyAlignment="1">
      <alignment horizontal="center" vertical="center"/>
    </xf>
    <xf numFmtId="49" fontId="6" fillId="6" borderId="26" xfId="0" applyNumberFormat="1" applyFont="1" applyFill="1" applyBorder="1" applyAlignment="1">
      <alignment horizontal="center" vertical="center" wrapText="1" shrinkToFit="1"/>
    </xf>
    <xf numFmtId="0" fontId="4" fillId="6" borderId="31" xfId="1" applyFont="1" applyFill="1" applyBorder="1" applyAlignment="1">
      <alignment horizontal="center" vertical="center"/>
    </xf>
    <xf numFmtId="0" fontId="4" fillId="6" borderId="26" xfId="1" applyFont="1" applyFill="1" applyBorder="1" applyAlignment="1">
      <alignment horizontal="center" vertical="center"/>
    </xf>
    <xf numFmtId="0" fontId="5" fillId="6" borderId="32" xfId="0" applyFont="1" applyFill="1" applyBorder="1" applyAlignment="1">
      <alignment horizontal="center" vertical="center" wrapText="1"/>
    </xf>
    <xf numFmtId="3" fontId="6" fillId="6" borderId="26" xfId="1" applyNumberFormat="1" applyFont="1" applyFill="1" applyBorder="1" applyAlignment="1">
      <alignment vertical="center"/>
    </xf>
    <xf numFmtId="3" fontId="4" fillId="6" borderId="46" xfId="0" applyNumberFormat="1" applyFont="1" applyFill="1" applyBorder="1" applyAlignment="1">
      <alignment vertical="center"/>
    </xf>
    <xf numFmtId="3" fontId="4" fillId="6" borderId="37" xfId="0" applyNumberFormat="1" applyFont="1" applyFill="1" applyBorder="1" applyAlignment="1">
      <alignment vertical="center"/>
    </xf>
    <xf numFmtId="3" fontId="4" fillId="6" borderId="20" xfId="0" applyNumberFormat="1" applyFont="1" applyFill="1" applyBorder="1" applyAlignment="1">
      <alignment vertical="center"/>
    </xf>
    <xf numFmtId="3" fontId="4" fillId="6" borderId="32" xfId="0" applyNumberFormat="1" applyFont="1" applyFill="1" applyBorder="1" applyAlignment="1">
      <alignment vertical="center"/>
    </xf>
    <xf numFmtId="3" fontId="4" fillId="6" borderId="26" xfId="0" applyNumberFormat="1" applyFont="1" applyFill="1" applyBorder="1" applyAlignment="1">
      <alignment horizontal="right" vertical="center"/>
    </xf>
    <xf numFmtId="49" fontId="4" fillId="6" borderId="31" xfId="0" applyNumberFormat="1" applyFont="1" applyFill="1" applyBorder="1" applyAlignment="1">
      <alignment horizontal="center" vertical="center"/>
    </xf>
    <xf numFmtId="3" fontId="4" fillId="6" borderId="26" xfId="0" applyNumberFormat="1" applyFont="1" applyFill="1" applyBorder="1" applyAlignment="1">
      <alignment vertical="center"/>
    </xf>
    <xf numFmtId="49" fontId="6" fillId="6" borderId="23" xfId="0" applyNumberFormat="1" applyFont="1" applyFill="1" applyBorder="1" applyAlignment="1">
      <alignment horizontal="center" vertical="center"/>
    </xf>
    <xf numFmtId="49" fontId="6" fillId="6" borderId="23" xfId="0" applyNumberFormat="1" applyFont="1" applyFill="1" applyBorder="1" applyAlignment="1">
      <alignment horizontal="center" vertical="center" wrapText="1" shrinkToFit="1"/>
    </xf>
    <xf numFmtId="0" fontId="4" fillId="6" borderId="25" xfId="1" applyFont="1" applyFill="1" applyBorder="1" applyAlignment="1">
      <alignment horizontal="center" vertical="center"/>
    </xf>
    <xf numFmtId="0" fontId="4" fillId="6" borderId="23" xfId="1" applyFont="1" applyFill="1" applyBorder="1" applyAlignment="1">
      <alignment horizontal="center" vertical="center"/>
    </xf>
    <xf numFmtId="0" fontId="5" fillId="6" borderId="24" xfId="0" applyFont="1" applyFill="1" applyBorder="1" applyAlignment="1">
      <alignment horizontal="center" vertical="center" wrapText="1"/>
    </xf>
    <xf numFmtId="3" fontId="6" fillId="6" borderId="23" xfId="1" applyNumberFormat="1" applyFont="1" applyFill="1" applyBorder="1" applyAlignment="1">
      <alignment vertical="center"/>
    </xf>
    <xf numFmtId="3" fontId="4" fillId="6" borderId="25" xfId="0" applyNumberFormat="1" applyFont="1" applyFill="1" applyBorder="1" applyAlignment="1">
      <alignment vertical="center"/>
    </xf>
    <xf numFmtId="3" fontId="4" fillId="6" borderId="23" xfId="0" applyNumberFormat="1" applyFont="1" applyFill="1" applyBorder="1" applyAlignment="1">
      <alignment vertical="center"/>
    </xf>
    <xf numFmtId="3" fontId="4" fillId="6" borderId="27" xfId="0" applyNumberFormat="1" applyFont="1" applyFill="1" applyBorder="1" applyAlignment="1">
      <alignment vertical="center"/>
    </xf>
    <xf numFmtId="3" fontId="4" fillId="6" borderId="53" xfId="0" applyNumberFormat="1" applyFont="1" applyFill="1" applyBorder="1" applyAlignment="1">
      <alignment vertical="center"/>
    </xf>
    <xf numFmtId="3" fontId="4" fillId="6" borderId="21" xfId="0" applyNumberFormat="1" applyFont="1" applyFill="1" applyBorder="1" applyAlignment="1">
      <alignment vertical="center"/>
    </xf>
    <xf numFmtId="3" fontId="4" fillId="6" borderId="24" xfId="0" applyNumberFormat="1" applyFont="1" applyFill="1" applyBorder="1" applyAlignment="1">
      <alignment vertical="center"/>
    </xf>
    <xf numFmtId="3" fontId="4" fillId="6" borderId="23" xfId="0" applyNumberFormat="1" applyFont="1" applyFill="1" applyBorder="1" applyAlignment="1">
      <alignment horizontal="right" vertical="center"/>
    </xf>
    <xf numFmtId="49" fontId="4" fillId="6" borderId="25" xfId="0" applyNumberFormat="1" applyFont="1" applyFill="1" applyBorder="1" applyAlignment="1">
      <alignment horizontal="center" vertical="center"/>
    </xf>
    <xf numFmtId="49" fontId="6" fillId="3" borderId="13" xfId="0" applyNumberFormat="1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 wrapText="1"/>
    </xf>
    <xf numFmtId="0" fontId="4" fillId="3" borderId="30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 wrapText="1"/>
    </xf>
    <xf numFmtId="3" fontId="6" fillId="3" borderId="14" xfId="1" applyNumberFormat="1" applyFont="1" applyFill="1" applyBorder="1" applyAlignment="1">
      <alignment vertical="center"/>
    </xf>
    <xf numFmtId="3" fontId="6" fillId="3" borderId="1" xfId="1" applyNumberFormat="1" applyFont="1" applyFill="1" applyBorder="1" applyAlignment="1">
      <alignment vertical="center" wrapText="1"/>
    </xf>
    <xf numFmtId="3" fontId="4" fillId="3" borderId="61" xfId="0" applyNumberFormat="1" applyFont="1" applyFill="1" applyBorder="1" applyAlignment="1">
      <alignment vertical="center"/>
    </xf>
    <xf numFmtId="3" fontId="4" fillId="3" borderId="1" xfId="0" applyNumberFormat="1" applyFont="1" applyFill="1" applyBorder="1" applyAlignment="1">
      <alignment vertical="center"/>
    </xf>
    <xf numFmtId="3" fontId="4" fillId="3" borderId="62" xfId="0" applyNumberFormat="1" applyFont="1" applyFill="1" applyBorder="1" applyAlignment="1">
      <alignment vertical="center"/>
    </xf>
    <xf numFmtId="3" fontId="4" fillId="3" borderId="16" xfId="0" applyNumberFormat="1" applyFont="1" applyFill="1" applyBorder="1" applyAlignment="1">
      <alignment vertical="center"/>
    </xf>
    <xf numFmtId="3" fontId="4" fillId="3" borderId="14" xfId="0" applyNumberFormat="1" applyFont="1" applyFill="1" applyBorder="1" applyAlignment="1">
      <alignment vertical="center" wrapText="1"/>
    </xf>
    <xf numFmtId="3" fontId="4" fillId="3" borderId="14" xfId="0" applyNumberFormat="1" applyFont="1" applyFill="1" applyBorder="1" applyAlignment="1">
      <alignment horizontal="right" vertical="center"/>
    </xf>
    <xf numFmtId="49" fontId="4" fillId="3" borderId="13" xfId="0" applyNumberFormat="1" applyFont="1" applyFill="1" applyBorder="1" applyAlignment="1">
      <alignment horizontal="center" vertical="center"/>
    </xf>
    <xf numFmtId="49" fontId="4" fillId="3" borderId="15" xfId="0" applyNumberFormat="1" applyFont="1" applyFill="1" applyBorder="1" applyAlignment="1">
      <alignment horizontal="center" vertical="center"/>
    </xf>
    <xf numFmtId="49" fontId="22" fillId="3" borderId="23" xfId="0" applyNumberFormat="1" applyFont="1" applyFill="1" applyBorder="1" applyAlignment="1">
      <alignment horizontal="center" vertical="center"/>
    </xf>
    <xf numFmtId="0" fontId="21" fillId="3" borderId="26" xfId="0" applyFont="1" applyFill="1" applyBorder="1" applyAlignment="1">
      <alignment horizontal="center" vertical="center"/>
    </xf>
    <xf numFmtId="0" fontId="21" fillId="3" borderId="26" xfId="0" applyFont="1" applyFill="1" applyBorder="1" applyAlignment="1">
      <alignment horizontal="center" vertical="center" wrapText="1"/>
    </xf>
    <xf numFmtId="0" fontId="21" fillId="3" borderId="37" xfId="1" applyFont="1" applyFill="1" applyBorder="1" applyAlignment="1">
      <alignment horizontal="center" vertical="center"/>
    </xf>
    <xf numFmtId="0" fontId="21" fillId="3" borderId="26" xfId="1" applyFont="1" applyFill="1" applyBorder="1" applyAlignment="1">
      <alignment horizontal="center" vertical="center"/>
    </xf>
    <xf numFmtId="0" fontId="37" fillId="3" borderId="26" xfId="1" applyFont="1" applyFill="1" applyBorder="1" applyAlignment="1">
      <alignment horizontal="center" vertical="center" wrapText="1"/>
    </xf>
    <xf numFmtId="3" fontId="22" fillId="3" borderId="26" xfId="1" applyNumberFormat="1" applyFont="1" applyFill="1" applyBorder="1" applyAlignment="1">
      <alignment vertical="center"/>
    </xf>
    <xf numFmtId="3" fontId="9" fillId="3" borderId="37" xfId="1" applyNumberFormat="1" applyFont="1" applyFill="1" applyBorder="1" applyAlignment="1">
      <alignment vertical="center" wrapText="1"/>
    </xf>
    <xf numFmtId="3" fontId="21" fillId="3" borderId="37" xfId="0" applyNumberFormat="1" applyFont="1" applyFill="1" applyBorder="1" applyAlignment="1">
      <alignment vertical="center"/>
    </xf>
    <xf numFmtId="3" fontId="21" fillId="3" borderId="20" xfId="0" applyNumberFormat="1" applyFont="1" applyFill="1" applyBorder="1" applyAlignment="1">
      <alignment vertical="center"/>
    </xf>
    <xf numFmtId="3" fontId="21" fillId="3" borderId="26" xfId="0" applyNumberFormat="1" applyFont="1" applyFill="1" applyBorder="1" applyAlignment="1">
      <alignment vertical="center"/>
    </xf>
    <xf numFmtId="3" fontId="21" fillId="3" borderId="32" xfId="0" applyNumberFormat="1" applyFont="1" applyFill="1" applyBorder="1" applyAlignment="1">
      <alignment vertical="center"/>
    </xf>
    <xf numFmtId="3" fontId="21" fillId="3" borderId="26" xfId="0" applyNumberFormat="1" applyFont="1" applyFill="1" applyBorder="1" applyAlignment="1">
      <alignment horizontal="right" vertical="center"/>
    </xf>
    <xf numFmtId="3" fontId="21" fillId="3" borderId="32" xfId="0" applyNumberFormat="1" applyFont="1" applyFill="1" applyBorder="1" applyAlignment="1">
      <alignment horizontal="right" vertical="center"/>
    </xf>
    <xf numFmtId="49" fontId="21" fillId="3" borderId="41" xfId="0" applyNumberFormat="1" applyFont="1" applyFill="1" applyBorder="1" applyAlignment="1">
      <alignment horizontal="center" vertical="center"/>
    </xf>
    <xf numFmtId="49" fontId="21" fillId="3" borderId="26" xfId="0" applyNumberFormat="1" applyFont="1" applyFill="1" applyBorder="1" applyAlignment="1">
      <alignment horizontal="center" vertical="center"/>
    </xf>
    <xf numFmtId="0" fontId="12" fillId="0" borderId="23" xfId="1" applyFont="1" applyFill="1" applyBorder="1" applyAlignment="1">
      <alignment horizontal="center" vertical="center"/>
    </xf>
    <xf numFmtId="0" fontId="12" fillId="0" borderId="27" xfId="1" applyFont="1" applyFill="1" applyBorder="1" applyAlignment="1">
      <alignment horizontal="center" vertical="center"/>
    </xf>
    <xf numFmtId="0" fontId="33" fillId="0" borderId="23" xfId="0" applyFont="1" applyFill="1" applyBorder="1" applyAlignment="1">
      <alignment horizontal="center" vertical="center" wrapText="1"/>
    </xf>
    <xf numFmtId="3" fontId="20" fillId="0" borderId="23" xfId="1" applyNumberFormat="1" applyFont="1" applyFill="1" applyBorder="1" applyAlignment="1">
      <alignment vertical="center"/>
    </xf>
    <xf numFmtId="3" fontId="14" fillId="0" borderId="27" xfId="1" applyNumberFormat="1" applyFont="1" applyFill="1" applyBorder="1" applyAlignment="1">
      <alignment vertical="center" wrapText="1"/>
    </xf>
    <xf numFmtId="3" fontId="12" fillId="0" borderId="23" xfId="0" applyNumberFormat="1" applyFont="1" applyFill="1" applyBorder="1" applyAlignment="1">
      <alignment horizontal="right" vertical="center"/>
    </xf>
    <xf numFmtId="0" fontId="12" fillId="0" borderId="37" xfId="1" applyFont="1" applyFill="1" applyBorder="1" applyAlignment="1">
      <alignment horizontal="center" vertical="center" wrapText="1"/>
    </xf>
    <xf numFmtId="0" fontId="33" fillId="0" borderId="26" xfId="0" applyFont="1" applyFill="1" applyBorder="1" applyAlignment="1">
      <alignment horizontal="center" vertical="center" wrapText="1"/>
    </xf>
    <xf numFmtId="49" fontId="6" fillId="3" borderId="22" xfId="0" applyNumberFormat="1" applyFont="1" applyFill="1" applyBorder="1" applyAlignment="1">
      <alignment horizontal="center" vertical="center" wrapText="1"/>
    </xf>
    <xf numFmtId="0" fontId="4" fillId="3" borderId="22" xfId="1" applyFont="1" applyFill="1" applyBorder="1" applyAlignment="1">
      <alignment horizontal="center" vertical="center" wrapText="1"/>
    </xf>
    <xf numFmtId="0" fontId="5" fillId="3" borderId="28" xfId="1" applyFont="1" applyFill="1" applyBorder="1" applyAlignment="1">
      <alignment horizontal="center" vertical="center" wrapText="1"/>
    </xf>
    <xf numFmtId="3" fontId="4" fillId="3" borderId="2" xfId="0" applyNumberFormat="1" applyFont="1" applyFill="1" applyBorder="1" applyAlignment="1">
      <alignment vertical="center" wrapText="1"/>
    </xf>
    <xf numFmtId="0" fontId="5" fillId="3" borderId="31" xfId="1" applyFont="1" applyFill="1" applyBorder="1" applyAlignment="1">
      <alignment horizontal="center" vertical="center" wrapText="1"/>
    </xf>
    <xf numFmtId="0" fontId="4" fillId="3" borderId="37" xfId="1" applyFont="1" applyFill="1" applyBorder="1" applyAlignment="1">
      <alignment horizontal="center" vertical="center" wrapText="1"/>
    </xf>
    <xf numFmtId="49" fontId="4" fillId="3" borderId="31" xfId="1" applyNumberFormat="1" applyFont="1" applyFill="1" applyBorder="1" applyAlignment="1">
      <alignment horizontal="center" vertical="center" wrapText="1"/>
    </xf>
    <xf numFmtId="49" fontId="4" fillId="3" borderId="26" xfId="1" applyNumberFormat="1" applyFont="1" applyFill="1" applyBorder="1" applyAlignment="1">
      <alignment horizontal="center" vertical="center" wrapText="1"/>
    </xf>
    <xf numFmtId="0" fontId="4" fillId="3" borderId="31" xfId="1" applyFont="1" applyFill="1" applyBorder="1" applyAlignment="1">
      <alignment horizontal="center" vertical="center" wrapText="1"/>
    </xf>
    <xf numFmtId="3" fontId="6" fillId="3" borderId="37" xfId="0" applyNumberFormat="1" applyFont="1" applyFill="1" applyBorder="1" applyAlignment="1">
      <alignment vertical="center" wrapText="1"/>
    </xf>
    <xf numFmtId="3" fontId="6" fillId="3" borderId="26" xfId="0" applyNumberFormat="1" applyFont="1" applyFill="1" applyBorder="1" applyAlignment="1">
      <alignment vertical="center" wrapText="1"/>
    </xf>
    <xf numFmtId="0" fontId="4" fillId="3" borderId="34" xfId="1" applyFont="1" applyFill="1" applyBorder="1" applyAlignment="1">
      <alignment horizontal="center" vertical="center" wrapText="1"/>
    </xf>
    <xf numFmtId="0" fontId="5" fillId="3" borderId="33" xfId="0" applyFont="1" applyFill="1" applyBorder="1" applyAlignment="1">
      <alignment horizontal="center" vertical="center" wrapText="1"/>
    </xf>
    <xf numFmtId="49" fontId="6" fillId="3" borderId="2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 shrinkToFi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" fontId="6" fillId="3" borderId="9" xfId="1" applyNumberFormat="1" applyFont="1" applyFill="1" applyBorder="1" applyAlignment="1">
      <alignment vertical="center" wrapText="1"/>
    </xf>
    <xf numFmtId="3" fontId="6" fillId="3" borderId="8" xfId="0" applyNumberFormat="1" applyFont="1" applyFill="1" applyBorder="1" applyAlignment="1">
      <alignment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5" xfId="1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3" fontId="4" fillId="3" borderId="15" xfId="0" applyNumberFormat="1" applyFont="1" applyFill="1" applyBorder="1" applyAlignment="1">
      <alignment vertical="center" wrapText="1"/>
    </xf>
    <xf numFmtId="3" fontId="6" fillId="3" borderId="19" xfId="0" applyNumberFormat="1" applyFont="1" applyFill="1" applyBorder="1" applyAlignment="1">
      <alignment vertical="center" wrapText="1"/>
    </xf>
    <xf numFmtId="49" fontId="6" fillId="3" borderId="18" xfId="0" applyNumberFormat="1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3" fontId="6" fillId="3" borderId="14" xfId="1" applyNumberFormat="1" applyFont="1" applyFill="1" applyBorder="1" applyAlignment="1">
      <alignment vertical="center" wrapText="1"/>
    </xf>
    <xf numFmtId="3" fontId="4" fillId="3" borderId="18" xfId="0" applyNumberFormat="1" applyFont="1" applyFill="1" applyBorder="1" applyAlignment="1">
      <alignment vertical="center" wrapText="1"/>
    </xf>
    <xf numFmtId="49" fontId="6" fillId="0" borderId="32" xfId="0" applyNumberFormat="1" applyFont="1" applyFill="1" applyBorder="1" applyAlignment="1">
      <alignment horizontal="center" vertical="center" wrapText="1" shrinkToFit="1"/>
    </xf>
    <xf numFmtId="3" fontId="6" fillId="3" borderId="18" xfId="1" applyNumberFormat="1" applyFont="1" applyFill="1" applyBorder="1" applyAlignment="1">
      <alignment vertical="center" wrapText="1"/>
    </xf>
    <xf numFmtId="3" fontId="4" fillId="3" borderId="39" xfId="0" applyNumberFormat="1" applyFont="1" applyFill="1" applyBorder="1" applyAlignment="1">
      <alignment vertical="center" wrapText="1"/>
    </xf>
    <xf numFmtId="3" fontId="6" fillId="3" borderId="33" xfId="0" applyNumberFormat="1" applyFont="1" applyFill="1" applyBorder="1" applyAlignment="1">
      <alignment vertical="center" wrapText="1"/>
    </xf>
    <xf numFmtId="3" fontId="4" fillId="3" borderId="35" xfId="0" applyNumberFormat="1" applyFont="1" applyFill="1" applyBorder="1" applyAlignment="1">
      <alignment horizontal="right" vertical="center" wrapText="1"/>
    </xf>
    <xf numFmtId="3" fontId="4" fillId="3" borderId="32" xfId="0" applyNumberFormat="1" applyFont="1" applyFill="1" applyBorder="1" applyAlignment="1">
      <alignment horizontal="right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13" fillId="3" borderId="23" xfId="0" applyNumberFormat="1" applyFont="1" applyFill="1" applyBorder="1" applyAlignment="1">
      <alignment horizontal="center" vertical="center" wrapText="1"/>
    </xf>
    <xf numFmtId="0" fontId="5" fillId="3" borderId="25" xfId="1" applyFont="1" applyFill="1" applyBorder="1" applyAlignment="1">
      <alignment horizontal="center" vertical="center" wrapText="1"/>
    </xf>
    <xf numFmtId="3" fontId="12" fillId="0" borderId="27" xfId="0" applyNumberFormat="1" applyFont="1" applyFill="1" applyBorder="1" applyAlignment="1">
      <alignment vertical="center" wrapText="1"/>
    </xf>
    <xf numFmtId="3" fontId="20" fillId="0" borderId="27" xfId="1" applyNumberFormat="1" applyFont="1" applyFill="1" applyBorder="1" applyAlignment="1">
      <alignment vertical="center" wrapText="1"/>
    </xf>
    <xf numFmtId="0" fontId="4" fillId="3" borderId="26" xfId="0" applyNumberFormat="1" applyFont="1" applyFill="1" applyBorder="1" applyAlignment="1">
      <alignment horizontal="center" vertical="center" wrapText="1"/>
    </xf>
    <xf numFmtId="49" fontId="6" fillId="3" borderId="18" xfId="0" applyNumberFormat="1" applyFont="1" applyFill="1" applyBorder="1" applyAlignment="1">
      <alignment horizontal="center" vertical="center" wrapText="1" shrinkToFit="1"/>
    </xf>
    <xf numFmtId="0" fontId="4" fillId="3" borderId="18" xfId="1" applyFont="1" applyFill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 wrapText="1"/>
    </xf>
    <xf numFmtId="3" fontId="4" fillId="3" borderId="5" xfId="0" applyNumberFormat="1" applyFont="1" applyFill="1" applyBorder="1" applyAlignment="1">
      <alignment vertical="center" wrapText="1"/>
    </xf>
    <xf numFmtId="3" fontId="4" fillId="3" borderId="52" xfId="0" applyNumberFormat="1" applyFont="1" applyFill="1" applyBorder="1" applyAlignment="1">
      <alignment vertical="center" wrapText="1"/>
    </xf>
    <xf numFmtId="3" fontId="4" fillId="3" borderId="6" xfId="0" applyNumberFormat="1" applyFont="1" applyFill="1" applyBorder="1" applyAlignment="1">
      <alignment horizontal="right" vertical="center" wrapText="1"/>
    </xf>
    <xf numFmtId="0" fontId="4" fillId="3" borderId="6" xfId="0" applyFont="1" applyFill="1" applyBorder="1" applyAlignment="1">
      <alignment horizontal="center" vertical="center" wrapText="1"/>
    </xf>
    <xf numFmtId="49" fontId="4" fillId="3" borderId="12" xfId="0" applyNumberFormat="1" applyFont="1" applyFill="1" applyBorder="1" applyAlignment="1">
      <alignment horizontal="center" vertical="center" wrapText="1"/>
    </xf>
    <xf numFmtId="0" fontId="4" fillId="3" borderId="18" xfId="0" applyNumberFormat="1" applyFont="1" applyFill="1" applyBorder="1" applyAlignment="1">
      <alignment horizontal="center" vertical="center" wrapText="1"/>
    </xf>
    <xf numFmtId="49" fontId="6" fillId="3" borderId="14" xfId="0" applyNumberFormat="1" applyFont="1" applyFill="1" applyBorder="1" applyAlignment="1">
      <alignment horizontal="center" vertical="center" wrapText="1"/>
    </xf>
    <xf numFmtId="49" fontId="6" fillId="3" borderId="14" xfId="0" applyNumberFormat="1" applyFont="1" applyFill="1" applyBorder="1" applyAlignment="1">
      <alignment horizontal="center" vertical="center" wrapText="1" shrinkToFit="1"/>
    </xf>
    <xf numFmtId="0" fontId="4" fillId="3" borderId="14" xfId="1" applyFont="1" applyFill="1" applyBorder="1" applyAlignment="1">
      <alignment horizontal="center" vertical="center" wrapText="1"/>
    </xf>
    <xf numFmtId="0" fontId="4" fillId="3" borderId="16" xfId="1" applyFont="1" applyFill="1" applyBorder="1" applyAlignment="1">
      <alignment horizontal="center" vertical="center" wrapText="1"/>
    </xf>
    <xf numFmtId="0" fontId="5" fillId="3" borderId="30" xfId="1" applyFont="1" applyFill="1" applyBorder="1" applyAlignment="1">
      <alignment horizontal="center" vertical="center" wrapText="1"/>
    </xf>
    <xf numFmtId="3" fontId="4" fillId="3" borderId="1" xfId="0" applyNumberFormat="1" applyFont="1" applyFill="1" applyBorder="1" applyAlignment="1">
      <alignment vertical="center" wrapText="1"/>
    </xf>
    <xf numFmtId="3" fontId="4" fillId="3" borderId="62" xfId="0" applyNumberFormat="1" applyFont="1" applyFill="1" applyBorder="1" applyAlignment="1">
      <alignment vertical="center" wrapText="1"/>
    </xf>
    <xf numFmtId="3" fontId="4" fillId="3" borderId="16" xfId="0" applyNumberFormat="1" applyFont="1" applyFill="1" applyBorder="1" applyAlignment="1">
      <alignment horizontal="right" vertical="center" wrapText="1"/>
    </xf>
    <xf numFmtId="0" fontId="4" fillId="3" borderId="16" xfId="0" applyFont="1" applyFill="1" applyBorder="1" applyAlignment="1">
      <alignment horizontal="center" vertical="center" wrapText="1"/>
    </xf>
    <xf numFmtId="49" fontId="4" fillId="3" borderId="30" xfId="0" applyNumberFormat="1" applyFont="1" applyFill="1" applyBorder="1" applyAlignment="1">
      <alignment horizontal="center" vertical="center" wrapText="1"/>
    </xf>
    <xf numFmtId="0" fontId="4" fillId="3" borderId="14" xfId="0" applyNumberFormat="1" applyFont="1" applyFill="1" applyBorder="1" applyAlignment="1">
      <alignment horizontal="center" vertical="center" wrapText="1"/>
    </xf>
    <xf numFmtId="3" fontId="4" fillId="3" borderId="24" xfId="0" applyNumberFormat="1" applyFont="1" applyFill="1" applyBorder="1" applyAlignment="1">
      <alignment horizontal="right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23" xfId="0" applyNumberFormat="1" applyFont="1" applyFill="1" applyBorder="1" applyAlignment="1">
      <alignment horizontal="center" vertical="center" wrapText="1"/>
    </xf>
    <xf numFmtId="0" fontId="10" fillId="0" borderId="24" xfId="1" applyFont="1" applyFill="1" applyBorder="1" applyAlignment="1">
      <alignment horizontal="center" vertical="center" wrapText="1"/>
    </xf>
    <xf numFmtId="3" fontId="10" fillId="0" borderId="24" xfId="0" applyNumberFormat="1" applyFont="1" applyFill="1" applyBorder="1" applyAlignment="1">
      <alignment horizontal="right" vertical="center" wrapText="1"/>
    </xf>
    <xf numFmtId="0" fontId="10" fillId="0" borderId="23" xfId="0" applyNumberFormat="1" applyFont="1" applyFill="1" applyBorder="1" applyAlignment="1">
      <alignment horizontal="center" vertical="center" wrapText="1"/>
    </xf>
    <xf numFmtId="3" fontId="14" fillId="3" borderId="23" xfId="1" applyNumberFormat="1" applyFont="1" applyFill="1" applyBorder="1" applyAlignment="1">
      <alignment vertical="center" wrapText="1"/>
    </xf>
    <xf numFmtId="0" fontId="4" fillId="3" borderId="44" xfId="1" applyFont="1" applyFill="1" applyBorder="1" applyAlignment="1">
      <alignment horizontal="center" vertical="center" wrapText="1"/>
    </xf>
    <xf numFmtId="0" fontId="5" fillId="3" borderId="15" xfId="1" applyFont="1" applyFill="1" applyBorder="1" applyAlignment="1">
      <alignment horizontal="center" vertical="center" wrapText="1"/>
    </xf>
    <xf numFmtId="3" fontId="4" fillId="3" borderId="44" xfId="0" applyNumberFormat="1" applyFont="1" applyFill="1" applyBorder="1" applyAlignment="1">
      <alignment horizontal="right" vertical="center" wrapText="1"/>
    </xf>
    <xf numFmtId="0" fontId="4" fillId="3" borderId="44" xfId="0" applyFont="1" applyFill="1" applyBorder="1" applyAlignment="1">
      <alignment horizontal="center" vertical="center" wrapText="1"/>
    </xf>
    <xf numFmtId="0" fontId="13" fillId="3" borderId="32" xfId="0" applyFont="1" applyFill="1" applyBorder="1" applyAlignment="1">
      <alignment horizontal="center" vertical="center" wrapText="1"/>
    </xf>
    <xf numFmtId="3" fontId="6" fillId="3" borderId="19" xfId="1" applyNumberFormat="1" applyFont="1" applyFill="1" applyBorder="1" applyAlignment="1">
      <alignment vertical="center" wrapText="1"/>
    </xf>
    <xf numFmtId="3" fontId="6" fillId="0" borderId="23" xfId="0" applyNumberFormat="1" applyFont="1" applyFill="1" applyBorder="1" applyAlignment="1">
      <alignment vertical="center" wrapText="1"/>
    </xf>
    <xf numFmtId="3" fontId="4" fillId="0" borderId="27" xfId="0" applyNumberFormat="1" applyFont="1" applyFill="1" applyBorder="1" applyAlignment="1">
      <alignment horizontal="right" vertical="center" wrapText="1"/>
    </xf>
    <xf numFmtId="3" fontId="34" fillId="0" borderId="14" xfId="0" applyNumberFormat="1" applyFont="1" applyFill="1" applyBorder="1"/>
    <xf numFmtId="3" fontId="34" fillId="0" borderId="16" xfId="0" applyNumberFormat="1" applyFont="1" applyFill="1" applyBorder="1"/>
    <xf numFmtId="0" fontId="35" fillId="3" borderId="37" xfId="0" applyFont="1" applyFill="1" applyBorder="1" applyAlignment="1">
      <alignment horizontal="center" vertical="center"/>
    </xf>
    <xf numFmtId="3" fontId="8" fillId="3" borderId="32" xfId="0" applyNumberFormat="1" applyFont="1" applyFill="1" applyBorder="1" applyAlignment="1">
      <alignment vertical="center" wrapText="1"/>
    </xf>
    <xf numFmtId="0" fontId="4" fillId="6" borderId="49" xfId="0" applyFont="1" applyFill="1" applyBorder="1" applyAlignment="1">
      <alignment horizontal="center" vertical="center" wrapText="1"/>
    </xf>
    <xf numFmtId="0" fontId="4" fillId="6" borderId="23" xfId="1" applyFont="1" applyFill="1" applyBorder="1" applyAlignment="1">
      <alignment horizontal="center" vertical="center" wrapText="1"/>
    </xf>
    <xf numFmtId="3" fontId="4" fillId="6" borderId="43" xfId="0" applyNumberFormat="1" applyFont="1" applyFill="1" applyBorder="1" applyAlignment="1">
      <alignment vertical="center" wrapText="1"/>
    </xf>
    <xf numFmtId="3" fontId="4" fillId="6" borderId="21" xfId="0" applyNumberFormat="1" applyFont="1" applyFill="1" applyBorder="1" applyAlignment="1">
      <alignment vertical="center" wrapText="1"/>
    </xf>
    <xf numFmtId="3" fontId="4" fillId="6" borderId="49" xfId="0" applyNumberFormat="1" applyFont="1" applyFill="1" applyBorder="1" applyAlignment="1">
      <alignment vertical="center" wrapText="1"/>
    </xf>
    <xf numFmtId="0" fontId="4" fillId="6" borderId="21" xfId="0" applyFont="1" applyFill="1" applyBorder="1" applyAlignment="1">
      <alignment horizontal="center" vertical="center" wrapText="1"/>
    </xf>
    <xf numFmtId="49" fontId="6" fillId="6" borderId="26" xfId="0" applyNumberFormat="1" applyFont="1" applyFill="1" applyBorder="1" applyAlignment="1">
      <alignment horizontal="center" vertical="center" wrapText="1"/>
    </xf>
    <xf numFmtId="0" fontId="4" fillId="6" borderId="26" xfId="1" applyFont="1" applyFill="1" applyBorder="1" applyAlignment="1">
      <alignment horizontal="center" vertical="center" wrapText="1"/>
    </xf>
    <xf numFmtId="0" fontId="5" fillId="6" borderId="26" xfId="0" applyFont="1" applyFill="1" applyBorder="1" applyAlignment="1">
      <alignment horizontal="center" vertical="center"/>
    </xf>
    <xf numFmtId="3" fontId="4" fillId="6" borderId="36" xfId="0" applyNumberFormat="1" applyFont="1" applyFill="1" applyBorder="1" applyAlignment="1">
      <alignment vertical="center" wrapText="1"/>
    </xf>
    <xf numFmtId="3" fontId="4" fillId="6" borderId="41" xfId="0" applyNumberFormat="1" applyFont="1" applyFill="1" applyBorder="1" applyAlignment="1">
      <alignment vertical="center" wrapText="1"/>
    </xf>
    <xf numFmtId="3" fontId="4" fillId="6" borderId="46" xfId="1" applyNumberFormat="1" applyFont="1" applyFill="1" applyBorder="1" applyAlignment="1">
      <alignment vertical="center" wrapText="1"/>
    </xf>
    <xf numFmtId="3" fontId="4" fillId="6" borderId="40" xfId="0" applyNumberFormat="1" applyFont="1" applyFill="1" applyBorder="1" applyAlignment="1">
      <alignment vertical="center" wrapText="1"/>
    </xf>
    <xf numFmtId="0" fontId="4" fillId="6" borderId="33" xfId="1" applyFont="1" applyFill="1" applyBorder="1" applyAlignment="1">
      <alignment horizontal="center" vertical="center" wrapText="1"/>
    </xf>
    <xf numFmtId="0" fontId="5" fillId="6" borderId="22" xfId="0" applyFont="1" applyFill="1" applyBorder="1" applyAlignment="1">
      <alignment horizontal="center" vertical="center"/>
    </xf>
    <xf numFmtId="3" fontId="4" fillId="6" borderId="48" xfId="1" applyNumberFormat="1" applyFont="1" applyFill="1" applyBorder="1" applyAlignment="1">
      <alignment vertical="center" wrapText="1"/>
    </xf>
    <xf numFmtId="3" fontId="4" fillId="6" borderId="50" xfId="0" applyNumberFormat="1" applyFont="1" applyFill="1" applyBorder="1" applyAlignment="1">
      <alignment vertical="center" wrapText="1"/>
    </xf>
    <xf numFmtId="0" fontId="4" fillId="6" borderId="63" xfId="0" applyFont="1" applyFill="1" applyBorder="1" applyAlignment="1">
      <alignment horizontal="center" vertical="center" wrapText="1"/>
    </xf>
    <xf numFmtId="0" fontId="4" fillId="6" borderId="42" xfId="0" applyFont="1" applyFill="1" applyBorder="1" applyAlignment="1">
      <alignment horizontal="center" vertical="center" wrapText="1"/>
    </xf>
    <xf numFmtId="3" fontId="4" fillId="6" borderId="40" xfId="1" applyNumberFormat="1" applyFont="1" applyFill="1" applyBorder="1" applyAlignment="1">
      <alignment vertical="center" wrapText="1"/>
    </xf>
    <xf numFmtId="0" fontId="5" fillId="6" borderId="26" xfId="0" applyFont="1" applyFill="1" applyBorder="1" applyAlignment="1">
      <alignment horizontal="center" vertical="center" wrapText="1"/>
    </xf>
    <xf numFmtId="0" fontId="5" fillId="3" borderId="33" xfId="1" applyFont="1" applyFill="1" applyBorder="1" applyAlignment="1">
      <alignment horizontal="center" vertical="center" wrapText="1"/>
    </xf>
    <xf numFmtId="3" fontId="10" fillId="0" borderId="37" xfId="0" applyNumberFormat="1" applyFont="1" applyFill="1" applyBorder="1" applyAlignment="1">
      <alignment horizontal="center" vertical="center" wrapText="1"/>
    </xf>
    <xf numFmtId="3" fontId="10" fillId="0" borderId="41" xfId="0" applyNumberFormat="1" applyFont="1" applyFill="1" applyBorder="1" applyAlignment="1">
      <alignment horizontal="center" vertical="center" wrapText="1"/>
    </xf>
    <xf numFmtId="49" fontId="20" fillId="0" borderId="31" xfId="0" applyNumberFormat="1" applyFont="1" applyFill="1" applyBorder="1" applyAlignment="1">
      <alignment horizontal="center" vertical="center" wrapText="1" shrinkToFit="1"/>
    </xf>
    <xf numFmtId="0" fontId="33" fillId="0" borderId="31" xfId="1" applyFont="1" applyFill="1" applyBorder="1" applyAlignment="1">
      <alignment horizontal="center" vertical="center" wrapText="1"/>
    </xf>
    <xf numFmtId="3" fontId="20" fillId="0" borderId="26" xfId="0" applyNumberFormat="1" applyFont="1" applyFill="1" applyBorder="1" applyAlignment="1">
      <alignment vertical="center" wrapText="1"/>
    </xf>
    <xf numFmtId="3" fontId="11" fillId="0" borderId="23" xfId="0" applyNumberFormat="1" applyFont="1" applyFill="1" applyBorder="1" applyAlignment="1">
      <alignment vertical="center" wrapText="1"/>
    </xf>
    <xf numFmtId="0" fontId="39" fillId="0" borderId="0" xfId="0" applyFont="1"/>
    <xf numFmtId="3" fontId="6" fillId="3" borderId="26" xfId="1" applyNumberFormat="1" applyFont="1" applyFill="1" applyBorder="1" applyAlignment="1">
      <alignment horizontal="right" vertical="center" wrapText="1"/>
    </xf>
    <xf numFmtId="4" fontId="4" fillId="3" borderId="26" xfId="0" applyNumberFormat="1" applyFont="1" applyFill="1" applyBorder="1" applyAlignment="1">
      <alignment horizontal="center" vertical="center" wrapText="1"/>
    </xf>
    <xf numFmtId="3" fontId="8" fillId="0" borderId="24" xfId="0" applyNumberFormat="1" applyFont="1" applyFill="1" applyBorder="1" applyAlignment="1">
      <alignment vertical="center" wrapText="1"/>
    </xf>
    <xf numFmtId="0" fontId="10" fillId="0" borderId="56" xfId="0" applyFont="1" applyFill="1" applyBorder="1" applyAlignment="1">
      <alignment horizontal="center" vertical="center" wrapText="1"/>
    </xf>
    <xf numFmtId="49" fontId="20" fillId="0" borderId="23" xfId="0" applyNumberFormat="1" applyFont="1" applyFill="1" applyBorder="1" applyAlignment="1">
      <alignment horizontal="center" vertical="center" wrapText="1"/>
    </xf>
    <xf numFmtId="49" fontId="20" fillId="0" borderId="25" xfId="0" applyNumberFormat="1" applyFont="1" applyFill="1" applyBorder="1" applyAlignment="1">
      <alignment horizontal="center" vertical="center" wrapText="1" shrinkToFit="1"/>
    </xf>
    <xf numFmtId="0" fontId="12" fillId="0" borderId="24" xfId="1" applyFont="1" applyFill="1" applyBorder="1" applyAlignment="1">
      <alignment horizontal="center" vertical="center" wrapText="1"/>
    </xf>
    <xf numFmtId="0" fontId="12" fillId="0" borderId="23" xfId="1" applyFont="1" applyFill="1" applyBorder="1" applyAlignment="1">
      <alignment horizontal="center" vertical="center" wrapText="1"/>
    </xf>
    <xf numFmtId="0" fontId="33" fillId="0" borderId="25" xfId="1" applyFont="1" applyFill="1" applyBorder="1" applyAlignment="1">
      <alignment horizontal="center" vertical="center" wrapText="1"/>
    </xf>
    <xf numFmtId="3" fontId="12" fillId="0" borderId="24" xfId="0" applyNumberFormat="1" applyFont="1" applyFill="1" applyBorder="1" applyAlignment="1">
      <alignment vertical="center" wrapText="1"/>
    </xf>
    <xf numFmtId="3" fontId="12" fillId="0" borderId="21" xfId="0" applyNumberFormat="1" applyFont="1" applyFill="1" applyBorder="1" applyAlignment="1">
      <alignment vertical="center" wrapText="1"/>
    </xf>
    <xf numFmtId="3" fontId="20" fillId="0" borderId="23" xfId="0" applyNumberFormat="1" applyFont="1" applyFill="1" applyBorder="1" applyAlignment="1">
      <alignment vertical="center" wrapText="1"/>
    </xf>
    <xf numFmtId="4" fontId="11" fillId="0" borderId="19" xfId="0" applyNumberFormat="1" applyFont="1" applyFill="1" applyBorder="1" applyAlignment="1">
      <alignment horizontal="center" vertical="center" wrapText="1"/>
    </xf>
    <xf numFmtId="4" fontId="12" fillId="0" borderId="26" xfId="0" applyNumberFormat="1" applyFont="1" applyFill="1" applyBorder="1" applyAlignment="1">
      <alignment horizontal="center" vertical="center" wrapText="1"/>
    </xf>
    <xf numFmtId="49" fontId="11" fillId="0" borderId="25" xfId="0" applyNumberFormat="1" applyFont="1" applyFill="1" applyBorder="1" applyAlignment="1">
      <alignment horizontal="center" vertical="center" wrapText="1" shrinkToFit="1"/>
    </xf>
    <xf numFmtId="0" fontId="4" fillId="3" borderId="41" xfId="0" applyFont="1" applyFill="1" applyBorder="1" applyAlignment="1">
      <alignment horizontal="center" vertical="center" wrapText="1"/>
    </xf>
    <xf numFmtId="4" fontId="4" fillId="3" borderId="41" xfId="0" applyNumberFormat="1" applyFont="1" applyFill="1" applyBorder="1" applyAlignment="1">
      <alignment horizontal="center" vertical="center" wrapText="1"/>
    </xf>
    <xf numFmtId="4" fontId="4" fillId="0" borderId="41" xfId="0" applyNumberFormat="1" applyFont="1" applyFill="1" applyBorder="1" applyAlignment="1">
      <alignment horizontal="center" vertical="center" wrapText="1"/>
    </xf>
    <xf numFmtId="4" fontId="4" fillId="0" borderId="41" xfId="0" quotePrefix="1" applyNumberFormat="1" applyFont="1" applyFill="1" applyBorder="1" applyAlignment="1">
      <alignment horizontal="center" vertical="center" wrapText="1"/>
    </xf>
    <xf numFmtId="4" fontId="12" fillId="0" borderId="41" xfId="0" applyNumberFormat="1" applyFont="1" applyFill="1" applyBorder="1" applyAlignment="1">
      <alignment horizontal="center" vertical="center" wrapText="1"/>
    </xf>
    <xf numFmtId="3" fontId="12" fillId="0" borderId="41" xfId="0" applyNumberFormat="1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 wrapText="1"/>
    </xf>
    <xf numFmtId="49" fontId="20" fillId="0" borderId="22" xfId="0" applyNumberFormat="1" applyFont="1" applyFill="1" applyBorder="1" applyAlignment="1">
      <alignment horizontal="center" vertical="center" wrapText="1"/>
    </xf>
    <xf numFmtId="49" fontId="20" fillId="0" borderId="23" xfId="0" applyNumberFormat="1" applyFont="1" applyFill="1" applyBorder="1" applyAlignment="1">
      <alignment horizontal="center" vertical="center" wrapText="1" shrinkToFit="1"/>
    </xf>
    <xf numFmtId="0" fontId="33" fillId="0" borderId="23" xfId="4" applyFont="1" applyFill="1" applyBorder="1" applyAlignment="1">
      <alignment horizontal="center" vertical="top" wrapText="1"/>
    </xf>
    <xf numFmtId="3" fontId="12" fillId="0" borderId="24" xfId="0" applyNumberFormat="1" applyFont="1" applyFill="1" applyBorder="1" applyAlignment="1">
      <alignment horizontal="right" vertical="center" wrapText="1"/>
    </xf>
    <xf numFmtId="49" fontId="12" fillId="0" borderId="25" xfId="0" applyNumberFormat="1" applyFont="1" applyFill="1" applyBorder="1" applyAlignment="1">
      <alignment horizontal="center" vertical="center" wrapText="1"/>
    </xf>
    <xf numFmtId="0" fontId="12" fillId="0" borderId="23" xfId="0" applyNumberFormat="1" applyFont="1" applyFill="1" applyBorder="1" applyAlignment="1">
      <alignment horizontal="center" vertical="center" wrapText="1"/>
    </xf>
    <xf numFmtId="49" fontId="9" fillId="0" borderId="23" xfId="0" applyNumberFormat="1" applyFont="1" applyFill="1" applyBorder="1" applyAlignment="1">
      <alignment horizontal="center" vertical="center" wrapText="1"/>
    </xf>
    <xf numFmtId="49" fontId="9" fillId="0" borderId="22" xfId="0" applyNumberFormat="1" applyFont="1" applyFill="1" applyBorder="1" applyAlignment="1">
      <alignment horizontal="center" vertical="center" wrapText="1" shrinkToFit="1"/>
    </xf>
    <xf numFmtId="0" fontId="8" fillId="0" borderId="23" xfId="1" applyFont="1" applyFill="1" applyBorder="1" applyAlignment="1">
      <alignment horizontal="center" vertical="center" wrapText="1"/>
    </xf>
    <xf numFmtId="0" fontId="8" fillId="0" borderId="24" xfId="1" applyFont="1" applyFill="1" applyBorder="1" applyAlignment="1">
      <alignment horizontal="center" vertical="center" wrapText="1"/>
    </xf>
    <xf numFmtId="0" fontId="35" fillId="0" borderId="25" xfId="0" applyFont="1" applyFill="1" applyBorder="1" applyAlignment="1">
      <alignment horizontal="center" vertical="center" wrapText="1"/>
    </xf>
    <xf numFmtId="3" fontId="8" fillId="0" borderId="8" xfId="0" applyNumberFormat="1" applyFont="1" applyFill="1" applyBorder="1" applyAlignment="1">
      <alignment horizontal="right" vertical="center" wrapText="1"/>
    </xf>
    <xf numFmtId="3" fontId="8" fillId="0" borderId="21" xfId="0" applyNumberFormat="1" applyFont="1" applyFill="1" applyBorder="1" applyAlignment="1">
      <alignment horizontal="right" vertical="center" wrapText="1"/>
    </xf>
    <xf numFmtId="3" fontId="8" fillId="0" borderId="24" xfId="0" applyNumberFormat="1" applyFont="1" applyFill="1" applyBorder="1" applyAlignment="1">
      <alignment horizontal="right" vertical="center" wrapText="1"/>
    </xf>
    <xf numFmtId="3" fontId="4" fillId="3" borderId="63" xfId="0" applyNumberFormat="1" applyFont="1" applyFill="1" applyBorder="1" applyAlignment="1">
      <alignment vertical="center" wrapText="1"/>
    </xf>
    <xf numFmtId="49" fontId="4" fillId="3" borderId="63" xfId="0" applyNumberFormat="1" applyFont="1" applyFill="1" applyBorder="1" applyAlignment="1">
      <alignment horizontal="center" vertical="center" wrapText="1"/>
    </xf>
    <xf numFmtId="49" fontId="4" fillId="3" borderId="33" xfId="0" applyNumberFormat="1" applyFont="1" applyFill="1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49" fontId="10" fillId="0" borderId="25" xfId="0" applyNumberFormat="1" applyFont="1" applyFill="1" applyBorder="1" applyAlignment="1">
      <alignment horizontal="center" vertical="center" wrapText="1"/>
    </xf>
    <xf numFmtId="49" fontId="6" fillId="9" borderId="26" xfId="0" applyNumberFormat="1" applyFont="1" applyFill="1" applyBorder="1" applyAlignment="1">
      <alignment horizontal="center" vertical="center" wrapText="1"/>
    </xf>
    <xf numFmtId="49" fontId="6" fillId="0" borderId="26" xfId="0" applyNumberFormat="1" applyFont="1" applyBorder="1" applyAlignment="1">
      <alignment horizontal="center" vertical="center" wrapText="1" shrinkToFit="1"/>
    </xf>
    <xf numFmtId="0" fontId="4" fillId="9" borderId="26" xfId="0" applyFont="1" applyFill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3" fontId="4" fillId="0" borderId="32" xfId="0" applyNumberFormat="1" applyFont="1" applyBorder="1" applyAlignment="1">
      <alignment vertical="center" wrapText="1"/>
    </xf>
    <xf numFmtId="3" fontId="4" fillId="0" borderId="32" xfId="0" applyNumberFormat="1" applyFont="1" applyBorder="1" applyAlignment="1">
      <alignment vertical="center"/>
    </xf>
    <xf numFmtId="3" fontId="10" fillId="9" borderId="26" xfId="0" applyNumberFormat="1" applyFont="1" applyFill="1" applyBorder="1" applyAlignment="1">
      <alignment vertical="center" wrapText="1"/>
    </xf>
    <xf numFmtId="3" fontId="10" fillId="9" borderId="32" xfId="0" applyNumberFormat="1" applyFont="1" applyFill="1" applyBorder="1" applyAlignment="1">
      <alignment vertical="center" wrapText="1"/>
    </xf>
    <xf numFmtId="3" fontId="10" fillId="9" borderId="26" xfId="0" applyNumberFormat="1" applyFont="1" applyFill="1" applyBorder="1" applyAlignment="1">
      <alignment vertical="center"/>
    </xf>
    <xf numFmtId="49" fontId="10" fillId="9" borderId="26" xfId="0" applyNumberFormat="1" applyFont="1" applyFill="1" applyBorder="1" applyAlignment="1">
      <alignment horizontal="center" vertical="center" wrapText="1"/>
    </xf>
    <xf numFmtId="3" fontId="4" fillId="3" borderId="32" xfId="0" applyNumberFormat="1" applyFont="1" applyFill="1" applyBorder="1" applyAlignment="1">
      <alignment horizontal="center" vertical="center" wrapText="1"/>
    </xf>
    <xf numFmtId="49" fontId="4" fillId="3" borderId="36" xfId="0" applyNumberFormat="1" applyFont="1" applyFill="1" applyBorder="1" applyAlignment="1">
      <alignment horizontal="center" vertical="center" wrapText="1"/>
    </xf>
    <xf numFmtId="49" fontId="20" fillId="9" borderId="23" xfId="0" applyNumberFormat="1" applyFont="1" applyFill="1" applyBorder="1" applyAlignment="1">
      <alignment horizontal="center" vertical="center" wrapText="1"/>
    </xf>
    <xf numFmtId="49" fontId="9" fillId="3" borderId="23" xfId="0" applyNumberFormat="1" applyFont="1" applyFill="1" applyBorder="1" applyAlignment="1">
      <alignment horizontal="center" vertical="center" wrapText="1"/>
    </xf>
    <xf numFmtId="0" fontId="35" fillId="3" borderId="31" xfId="0" applyFont="1" applyFill="1" applyBorder="1" applyAlignment="1">
      <alignment horizontal="center" vertical="center" wrapText="1"/>
    </xf>
    <xf numFmtId="49" fontId="20" fillId="3" borderId="23" xfId="0" applyNumberFormat="1" applyFont="1" applyFill="1" applyBorder="1" applyAlignment="1">
      <alignment horizontal="center" vertical="center" wrapText="1"/>
    </xf>
    <xf numFmtId="49" fontId="20" fillId="3" borderId="26" xfId="0" applyNumberFormat="1" applyFont="1" applyFill="1" applyBorder="1" applyAlignment="1">
      <alignment horizontal="center" vertical="center" wrapText="1" shrinkToFit="1"/>
    </xf>
    <xf numFmtId="0" fontId="12" fillId="3" borderId="26" xfId="0" applyFont="1" applyFill="1" applyBorder="1" applyAlignment="1">
      <alignment horizontal="center" vertical="center" wrapText="1"/>
    </xf>
    <xf numFmtId="0" fontId="12" fillId="3" borderId="26" xfId="1" applyFont="1" applyFill="1" applyBorder="1" applyAlignment="1">
      <alignment horizontal="center" vertical="center" wrapText="1"/>
    </xf>
    <xf numFmtId="0" fontId="12" fillId="3" borderId="32" xfId="1" applyFont="1" applyFill="1" applyBorder="1" applyAlignment="1">
      <alignment horizontal="center" vertical="center" wrapText="1"/>
    </xf>
    <xf numFmtId="0" fontId="33" fillId="3" borderId="31" xfId="0" applyFont="1" applyFill="1" applyBorder="1" applyAlignment="1">
      <alignment horizontal="center" vertical="center" wrapText="1"/>
    </xf>
    <xf numFmtId="3" fontId="20" fillId="3" borderId="26" xfId="1" applyNumberFormat="1" applyFont="1" applyFill="1" applyBorder="1" applyAlignment="1">
      <alignment vertical="center" wrapText="1"/>
    </xf>
    <xf numFmtId="3" fontId="12" fillId="3" borderId="37" xfId="0" applyNumberFormat="1" applyFont="1" applyFill="1" applyBorder="1" applyAlignment="1">
      <alignment vertical="center"/>
    </xf>
    <xf numFmtId="3" fontId="12" fillId="3" borderId="20" xfId="0" applyNumberFormat="1" applyFont="1" applyFill="1" applyBorder="1" applyAlignment="1">
      <alignment vertical="center"/>
    </xf>
    <xf numFmtId="3" fontId="12" fillId="3" borderId="32" xfId="0" applyNumberFormat="1" applyFont="1" applyFill="1" applyBorder="1" applyAlignment="1">
      <alignment vertical="center"/>
    </xf>
    <xf numFmtId="3" fontId="12" fillId="3" borderId="32" xfId="0" applyNumberFormat="1" applyFont="1" applyFill="1" applyBorder="1" applyAlignment="1">
      <alignment vertical="center" wrapText="1"/>
    </xf>
    <xf numFmtId="3" fontId="12" fillId="3" borderId="26" xfId="0" applyNumberFormat="1" applyFont="1" applyFill="1" applyBorder="1" applyAlignment="1">
      <alignment vertical="center" wrapText="1"/>
    </xf>
    <xf numFmtId="3" fontId="12" fillId="3" borderId="35" xfId="0" applyNumberFormat="1" applyFont="1" applyFill="1" applyBorder="1" applyAlignment="1">
      <alignment vertical="center" wrapText="1"/>
    </xf>
    <xf numFmtId="49" fontId="12" fillId="3" borderId="26" xfId="0" applyNumberFormat="1" applyFont="1" applyFill="1" applyBorder="1" applyAlignment="1">
      <alignment horizontal="center" vertical="center" wrapText="1"/>
    </xf>
    <xf numFmtId="49" fontId="12" fillId="3" borderId="31" xfId="0" applyNumberFormat="1" applyFont="1" applyFill="1" applyBorder="1" applyAlignment="1">
      <alignment horizontal="center" vertical="center" wrapText="1"/>
    </xf>
    <xf numFmtId="49" fontId="6" fillId="9" borderId="23" xfId="0" applyNumberFormat="1" applyFont="1" applyFill="1" applyBorder="1" applyAlignment="1">
      <alignment horizontal="center" vertical="center" wrapText="1"/>
    </xf>
    <xf numFmtId="3" fontId="4" fillId="0" borderId="37" xfId="0" applyNumberFormat="1" applyFont="1" applyBorder="1" applyAlignment="1">
      <alignment vertical="center"/>
    </xf>
    <xf numFmtId="3" fontId="4" fillId="0" borderId="35" xfId="0" applyNumberFormat="1" applyFont="1" applyBorder="1" applyAlignment="1">
      <alignment vertical="center" wrapText="1"/>
    </xf>
    <xf numFmtId="0" fontId="4" fillId="0" borderId="33" xfId="0" applyFont="1" applyBorder="1" applyAlignment="1">
      <alignment horizontal="center" vertical="center" wrapText="1"/>
    </xf>
    <xf numFmtId="0" fontId="5" fillId="0" borderId="31" xfId="1" applyFont="1" applyBorder="1" applyAlignment="1">
      <alignment horizontal="center" vertical="center" wrapText="1"/>
    </xf>
    <xf numFmtId="3" fontId="4" fillId="0" borderId="20" xfId="0" applyNumberFormat="1" applyFont="1" applyBorder="1" applyAlignment="1">
      <alignment vertical="center"/>
    </xf>
    <xf numFmtId="3" fontId="20" fillId="0" borderId="26" xfId="0" applyNumberFormat="1" applyFont="1" applyFill="1" applyBorder="1" applyAlignment="1">
      <alignment horizontal="right" vertical="center"/>
    </xf>
    <xf numFmtId="3" fontId="6" fillId="3" borderId="26" xfId="0" applyNumberFormat="1" applyFont="1" applyFill="1" applyBorder="1" applyAlignment="1">
      <alignment horizontal="right" vertical="center"/>
    </xf>
    <xf numFmtId="3" fontId="4" fillId="9" borderId="32" xfId="0" applyNumberFormat="1" applyFont="1" applyFill="1" applyBorder="1" applyAlignment="1">
      <alignment vertical="center"/>
    </xf>
    <xf numFmtId="49" fontId="20" fillId="0" borderId="26" xfId="0" applyNumberFormat="1" applyFont="1" applyBorder="1" applyAlignment="1">
      <alignment horizontal="center" vertical="center" wrapText="1"/>
    </xf>
    <xf numFmtId="0" fontId="33" fillId="0" borderId="26" xfId="0" applyFont="1" applyBorder="1" applyAlignment="1">
      <alignment horizontal="center" vertical="center" wrapText="1"/>
    </xf>
    <xf numFmtId="3" fontId="12" fillId="0" borderId="26" xfId="0" applyNumberFormat="1" applyFont="1" applyBorder="1" applyAlignment="1">
      <alignment horizontal="right" vertical="center"/>
    </xf>
    <xf numFmtId="3" fontId="4" fillId="9" borderId="37" xfId="0" applyNumberFormat="1" applyFont="1" applyFill="1" applyBorder="1" applyAlignment="1">
      <alignment vertical="center"/>
    </xf>
    <xf numFmtId="3" fontId="4" fillId="9" borderId="20" xfId="0" applyNumberFormat="1" applyFont="1" applyFill="1" applyBorder="1" applyAlignment="1">
      <alignment vertical="center"/>
    </xf>
    <xf numFmtId="0" fontId="5" fillId="0" borderId="26" xfId="0" applyFont="1" applyBorder="1" applyAlignment="1">
      <alignment horizontal="center" vertical="center" wrapText="1"/>
    </xf>
    <xf numFmtId="3" fontId="6" fillId="0" borderId="26" xfId="0" applyNumberFormat="1" applyFont="1" applyBorder="1" applyAlignment="1">
      <alignment horizontal="right" vertical="center"/>
    </xf>
    <xf numFmtId="3" fontId="4" fillId="0" borderId="26" xfId="0" applyNumberFormat="1" applyFont="1" applyBorder="1" applyAlignment="1">
      <alignment horizontal="right" vertical="center"/>
    </xf>
    <xf numFmtId="49" fontId="6" fillId="0" borderId="26" xfId="0" applyNumberFormat="1" applyFont="1" applyBorder="1" applyAlignment="1">
      <alignment horizontal="center" vertical="center" wrapText="1"/>
    </xf>
    <xf numFmtId="3" fontId="20" fillId="0" borderId="26" xfId="0" applyNumberFormat="1" applyFont="1" applyFill="1" applyBorder="1" applyAlignment="1">
      <alignment horizontal="right" vertical="center" wrapText="1"/>
    </xf>
    <xf numFmtId="3" fontId="12" fillId="0" borderId="37" xfId="0" applyNumberFormat="1" applyFont="1" applyBorder="1" applyAlignment="1">
      <alignment vertical="center"/>
    </xf>
    <xf numFmtId="3" fontId="12" fillId="0" borderId="20" xfId="0" applyNumberFormat="1" applyFont="1" applyBorder="1" applyAlignment="1">
      <alignment vertical="center"/>
    </xf>
    <xf numFmtId="49" fontId="20" fillId="9" borderId="26" xfId="0" applyNumberFormat="1" applyFont="1" applyFill="1" applyBorder="1" applyAlignment="1">
      <alignment horizontal="center" vertical="center" wrapText="1"/>
    </xf>
    <xf numFmtId="0" fontId="33" fillId="0" borderId="26" xfId="5" applyFont="1" applyFill="1" applyBorder="1" applyAlignment="1">
      <alignment horizontal="center" vertical="center"/>
    </xf>
    <xf numFmtId="49" fontId="12" fillId="9" borderId="31" xfId="0" applyNumberFormat="1" applyFont="1" applyFill="1" applyBorder="1" applyAlignment="1">
      <alignment horizontal="center" vertical="center" wrapText="1"/>
    </xf>
    <xf numFmtId="49" fontId="4" fillId="9" borderId="13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0" fontId="4" fillId="9" borderId="13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3" fontId="4" fillId="0" borderId="13" xfId="0" applyNumberFormat="1" applyFont="1" applyBorder="1" applyAlignment="1">
      <alignment horizontal="right" vertical="center"/>
    </xf>
    <xf numFmtId="3" fontId="4" fillId="0" borderId="13" xfId="0" applyNumberFormat="1" applyFont="1" applyBorder="1" applyAlignment="1">
      <alignment vertical="center" wrapText="1"/>
    </xf>
    <xf numFmtId="3" fontId="4" fillId="9" borderId="19" xfId="0" applyNumberFormat="1" applyFont="1" applyFill="1" applyBorder="1" applyAlignment="1">
      <alignment vertical="center"/>
    </xf>
    <xf numFmtId="3" fontId="4" fillId="9" borderId="47" xfId="0" applyNumberFormat="1" applyFont="1" applyFill="1" applyBorder="1" applyAlignment="1">
      <alignment vertical="center"/>
    </xf>
    <xf numFmtId="3" fontId="4" fillId="9" borderId="44" xfId="0" applyNumberFormat="1" applyFont="1" applyFill="1" applyBorder="1" applyAlignment="1">
      <alignment vertical="center"/>
    </xf>
    <xf numFmtId="3" fontId="4" fillId="0" borderId="44" xfId="0" applyNumberFormat="1" applyFont="1" applyBorder="1" applyAlignment="1">
      <alignment vertical="center"/>
    </xf>
    <xf numFmtId="3" fontId="4" fillId="0" borderId="44" xfId="0" applyNumberFormat="1" applyFont="1" applyBorder="1" applyAlignment="1">
      <alignment horizontal="right" vertical="center"/>
    </xf>
    <xf numFmtId="49" fontId="4" fillId="0" borderId="15" xfId="0" applyNumberFormat="1" applyFont="1" applyBorder="1" applyAlignment="1">
      <alignment horizontal="center" vertical="center" wrapText="1"/>
    </xf>
    <xf numFmtId="49" fontId="4" fillId="9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9" borderId="2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right" vertical="center"/>
    </xf>
    <xf numFmtId="3" fontId="4" fillId="0" borderId="2" xfId="0" applyNumberFormat="1" applyFont="1" applyBorder="1" applyAlignment="1">
      <alignment vertical="center" wrapText="1"/>
    </xf>
    <xf numFmtId="3" fontId="4" fillId="9" borderId="8" xfId="0" applyNumberFormat="1" applyFont="1" applyFill="1" applyBorder="1" applyAlignment="1">
      <alignment vertical="center"/>
    </xf>
    <xf numFmtId="3" fontId="4" fillId="9" borderId="58" xfId="0" applyNumberFormat="1" applyFont="1" applyFill="1" applyBorder="1" applyAlignment="1">
      <alignment vertical="center"/>
    </xf>
    <xf numFmtId="3" fontId="4" fillId="9" borderId="9" xfId="0" applyNumberFormat="1" applyFont="1" applyFill="1" applyBorder="1" applyAlignment="1">
      <alignment vertical="center"/>
    </xf>
    <xf numFmtId="3" fontId="4" fillId="0" borderId="9" xfId="0" applyNumberFormat="1" applyFont="1" applyBorder="1" applyAlignment="1">
      <alignment vertical="center"/>
    </xf>
    <xf numFmtId="3" fontId="4" fillId="0" borderId="9" xfId="0" applyNumberFormat="1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3" fontId="10" fillId="0" borderId="27" xfId="0" applyNumberFormat="1" applyFont="1" applyBorder="1" applyAlignment="1">
      <alignment vertical="center"/>
    </xf>
    <xf numFmtId="3" fontId="10" fillId="0" borderId="21" xfId="0" applyNumberFormat="1" applyFont="1" applyBorder="1" applyAlignment="1">
      <alignment vertical="center"/>
    </xf>
    <xf numFmtId="3" fontId="10" fillId="0" borderId="24" xfId="0" applyNumberFormat="1" applyFont="1" applyBorder="1" applyAlignment="1">
      <alignment vertical="center"/>
    </xf>
    <xf numFmtId="0" fontId="33" fillId="0" borderId="25" xfId="0" applyFont="1" applyFill="1" applyBorder="1" applyAlignment="1">
      <alignment horizontal="center" vertical="center"/>
    </xf>
    <xf numFmtId="3" fontId="20" fillId="0" borderId="23" xfId="0" applyNumberFormat="1" applyFont="1" applyFill="1" applyBorder="1" applyAlignment="1">
      <alignment horizontal="right" vertical="center"/>
    </xf>
    <xf numFmtId="3" fontId="12" fillId="0" borderId="24" xfId="0" applyNumberFormat="1" applyFont="1" applyFill="1" applyBorder="1" applyAlignment="1">
      <alignment horizontal="right" vertical="center"/>
    </xf>
    <xf numFmtId="0" fontId="12" fillId="9" borderId="23" xfId="0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3" fontId="4" fillId="9" borderId="24" xfId="0" applyNumberFormat="1" applyFont="1" applyFill="1" applyBorder="1" applyAlignment="1">
      <alignment vertical="center"/>
    </xf>
    <xf numFmtId="49" fontId="20" fillId="0" borderId="14" xfId="0" applyNumberFormat="1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33" fillId="0" borderId="30" xfId="0" applyFont="1" applyFill="1" applyBorder="1" applyAlignment="1">
      <alignment horizontal="center" vertical="center"/>
    </xf>
    <xf numFmtId="3" fontId="20" fillId="0" borderId="14" xfId="0" applyNumberFormat="1" applyFont="1" applyFill="1" applyBorder="1" applyAlignment="1">
      <alignment horizontal="right" vertical="center"/>
    </xf>
    <xf numFmtId="3" fontId="12" fillId="0" borderId="14" xfId="0" applyNumberFormat="1" applyFont="1" applyFill="1" applyBorder="1" applyAlignment="1">
      <alignment vertical="center" wrapText="1"/>
    </xf>
    <xf numFmtId="3" fontId="20" fillId="0" borderId="1" xfId="1" applyNumberFormat="1" applyFont="1" applyFill="1" applyBorder="1" applyAlignment="1">
      <alignment vertical="center" wrapText="1"/>
    </xf>
    <xf numFmtId="3" fontId="12" fillId="0" borderId="1" xfId="0" applyNumberFormat="1" applyFont="1" applyFill="1" applyBorder="1" applyAlignment="1">
      <alignment vertical="center"/>
    </xf>
    <xf numFmtId="3" fontId="12" fillId="0" borderId="62" xfId="0" applyNumberFormat="1" applyFont="1" applyFill="1" applyBorder="1" applyAlignment="1">
      <alignment vertical="center"/>
    </xf>
    <xf numFmtId="3" fontId="12" fillId="0" borderId="16" xfId="0" applyNumberFormat="1" applyFont="1" applyFill="1" applyBorder="1" applyAlignment="1">
      <alignment vertical="center"/>
    </xf>
    <xf numFmtId="3" fontId="12" fillId="0" borderId="14" xfId="0" applyNumberFormat="1" applyFont="1" applyFill="1" applyBorder="1" applyAlignment="1">
      <alignment horizontal="right" vertical="center"/>
    </xf>
    <xf numFmtId="3" fontId="12" fillId="0" borderId="16" xfId="0" applyNumberFormat="1" applyFont="1" applyFill="1" applyBorder="1" applyAlignment="1">
      <alignment horizontal="right" vertical="center"/>
    </xf>
    <xf numFmtId="0" fontId="12" fillId="9" borderId="16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 vertical="center" wrapText="1"/>
    </xf>
    <xf numFmtId="0" fontId="33" fillId="0" borderId="23" xfId="0" applyFont="1" applyFill="1" applyBorder="1" applyAlignment="1">
      <alignment horizontal="center" vertical="center"/>
    </xf>
    <xf numFmtId="3" fontId="12" fillId="0" borderId="23" xfId="0" applyNumberFormat="1" applyFont="1" applyFill="1" applyBorder="1" applyAlignment="1">
      <alignment vertical="center"/>
    </xf>
    <xf numFmtId="3" fontId="12" fillId="0" borderId="27" xfId="0" applyNumberFormat="1" applyFont="1" applyFill="1" applyBorder="1" applyAlignment="1">
      <alignment horizontal="right" vertical="center"/>
    </xf>
    <xf numFmtId="0" fontId="5" fillId="3" borderId="23" xfId="0" applyFont="1" applyFill="1" applyBorder="1" applyAlignment="1">
      <alignment horizontal="center" vertical="center"/>
    </xf>
    <xf numFmtId="3" fontId="6" fillId="3" borderId="23" xfId="0" applyNumberFormat="1" applyFont="1" applyFill="1" applyBorder="1" applyAlignment="1">
      <alignment horizontal="right" vertical="center"/>
    </xf>
    <xf numFmtId="49" fontId="20" fillId="0" borderId="20" xfId="0" applyNumberFormat="1" applyFont="1" applyFill="1" applyBorder="1" applyAlignment="1">
      <alignment horizontal="center" vertical="center" wrapText="1"/>
    </xf>
    <xf numFmtId="0" fontId="12" fillId="0" borderId="41" xfId="0" applyFont="1" applyFill="1" applyBorder="1" applyAlignment="1">
      <alignment horizontal="center" vertical="center" wrapText="1"/>
    </xf>
    <xf numFmtId="3" fontId="12" fillId="0" borderId="41" xfId="0" applyNumberFormat="1" applyFont="1" applyFill="1" applyBorder="1" applyAlignment="1">
      <alignment horizontal="right" vertical="center"/>
    </xf>
    <xf numFmtId="3" fontId="12" fillId="0" borderId="20" xfId="0" applyNumberFormat="1" applyFont="1" applyFill="1" applyBorder="1" applyAlignment="1">
      <alignment horizontal="right" vertical="center"/>
    </xf>
    <xf numFmtId="3" fontId="12" fillId="0" borderId="37" xfId="0" applyNumberFormat="1" applyFont="1" applyFill="1" applyBorder="1" applyAlignment="1">
      <alignment horizontal="right" vertical="center"/>
    </xf>
    <xf numFmtId="49" fontId="4" fillId="6" borderId="23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40" fillId="0" borderId="0" xfId="0" applyFont="1" applyFill="1"/>
    <xf numFmtId="3" fontId="20" fillId="4" borderId="37" xfId="0" applyNumberFormat="1" applyFont="1" applyFill="1" applyBorder="1" applyAlignment="1">
      <alignment vertical="center" wrapText="1"/>
    </xf>
    <xf numFmtId="3" fontId="20" fillId="4" borderId="31" xfId="0" applyNumberFormat="1" applyFont="1" applyFill="1" applyBorder="1" applyAlignment="1">
      <alignment vertical="center" wrapText="1"/>
    </xf>
    <xf numFmtId="49" fontId="20" fillId="0" borderId="32" xfId="0" applyNumberFormat="1" applyFont="1" applyFill="1" applyBorder="1" applyAlignment="1">
      <alignment horizontal="center" vertical="center"/>
    </xf>
    <xf numFmtId="3" fontId="22" fillId="3" borderId="37" xfId="1" applyNumberFormat="1" applyFont="1" applyFill="1" applyBorder="1" applyAlignment="1">
      <alignment vertical="center" wrapText="1"/>
    </xf>
    <xf numFmtId="3" fontId="6" fillId="7" borderId="23" xfId="1" applyNumberFormat="1" applyFont="1" applyFill="1" applyBorder="1" applyAlignment="1">
      <alignment vertical="center" wrapText="1"/>
    </xf>
    <xf numFmtId="3" fontId="6" fillId="7" borderId="5" xfId="1" applyNumberFormat="1" applyFont="1" applyFill="1" applyBorder="1" applyAlignment="1">
      <alignment vertical="center" wrapText="1"/>
    </xf>
    <xf numFmtId="3" fontId="4" fillId="3" borderId="46" xfId="1" applyNumberFormat="1" applyFont="1" applyFill="1" applyBorder="1" applyAlignment="1">
      <alignment vertical="center" wrapText="1"/>
    </xf>
    <xf numFmtId="0" fontId="5" fillId="6" borderId="23" xfId="0" applyFont="1" applyFill="1" applyBorder="1" applyAlignment="1">
      <alignment horizontal="center" vertical="center"/>
    </xf>
    <xf numFmtId="3" fontId="6" fillId="6" borderId="23" xfId="0" applyNumberFormat="1" applyFont="1" applyFill="1" applyBorder="1" applyAlignment="1">
      <alignment horizontal="right" vertical="center"/>
    </xf>
    <xf numFmtId="3" fontId="4" fillId="6" borderId="23" xfId="0" applyNumberFormat="1" applyFont="1" applyFill="1" applyBorder="1" applyAlignment="1">
      <alignment vertical="center" wrapText="1"/>
    </xf>
    <xf numFmtId="3" fontId="4" fillId="6" borderId="27" xfId="0" applyNumberFormat="1" applyFont="1" applyFill="1" applyBorder="1" applyAlignment="1">
      <alignment horizontal="right" vertical="center"/>
    </xf>
    <xf numFmtId="0" fontId="27" fillId="0" borderId="0" xfId="0" applyFont="1" applyFill="1"/>
    <xf numFmtId="49" fontId="20" fillId="0" borderId="18" xfId="0" applyNumberFormat="1" applyFont="1" applyFill="1" applyBorder="1" applyAlignment="1">
      <alignment horizontal="center" vertical="center" wrapText="1"/>
    </xf>
    <xf numFmtId="49" fontId="20" fillId="0" borderId="16" xfId="0" applyNumberFormat="1" applyFont="1" applyFill="1" applyBorder="1" applyAlignment="1">
      <alignment horizontal="center" vertical="center" wrapText="1" shrinkToFi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2" xfId="1" applyFont="1" applyFill="1" applyBorder="1" applyAlignment="1">
      <alignment horizontal="center" vertical="center" wrapText="1"/>
    </xf>
    <xf numFmtId="0" fontId="33" fillId="0" borderId="18" xfId="0" applyFont="1" applyFill="1" applyBorder="1" applyAlignment="1">
      <alignment horizontal="center" vertical="center" wrapText="1"/>
    </xf>
    <xf numFmtId="3" fontId="20" fillId="0" borderId="6" xfId="1" applyNumberFormat="1" applyFont="1" applyFill="1" applyBorder="1" applyAlignment="1">
      <alignment vertical="center" wrapText="1"/>
    </xf>
    <xf numFmtId="3" fontId="12" fillId="0" borderId="12" xfId="0" applyNumberFormat="1" applyFont="1" applyFill="1" applyBorder="1" applyAlignment="1">
      <alignment vertical="center" wrapText="1"/>
    </xf>
    <xf numFmtId="3" fontId="20" fillId="7" borderId="14" xfId="1" applyNumberFormat="1" applyFont="1" applyFill="1" applyBorder="1" applyAlignment="1">
      <alignment vertical="center" wrapText="1"/>
    </xf>
    <xf numFmtId="3" fontId="20" fillId="0" borderId="6" xfId="0" applyNumberFormat="1" applyFont="1" applyFill="1" applyBorder="1" applyAlignment="1">
      <alignment vertical="center" wrapText="1"/>
    </xf>
    <xf numFmtId="3" fontId="12" fillId="0" borderId="18" xfId="0" applyNumberFormat="1" applyFont="1" applyFill="1" applyBorder="1" applyAlignment="1">
      <alignment vertical="center" wrapText="1"/>
    </xf>
    <xf numFmtId="49" fontId="12" fillId="0" borderId="18" xfId="0" applyNumberFormat="1" applyFont="1" applyFill="1" applyBorder="1" applyAlignment="1">
      <alignment horizontal="center" vertical="center" wrapText="1"/>
    </xf>
    <xf numFmtId="49" fontId="4" fillId="3" borderId="32" xfId="0" applyNumberFormat="1" applyFont="1" applyFill="1" applyBorder="1" applyAlignment="1">
      <alignment horizontal="center" vertical="center" wrapText="1" shrinkToFit="1"/>
    </xf>
    <xf numFmtId="49" fontId="4" fillId="3" borderId="35" xfId="0" applyNumberFormat="1" applyFont="1" applyFill="1" applyBorder="1" applyAlignment="1">
      <alignment horizontal="center" vertical="center" wrapText="1" shrinkToFit="1"/>
    </xf>
    <xf numFmtId="3" fontId="11" fillId="7" borderId="26" xfId="1" applyNumberFormat="1" applyFont="1" applyFill="1" applyBorder="1" applyAlignment="1">
      <alignment vertical="center" wrapText="1"/>
    </xf>
    <xf numFmtId="49" fontId="4" fillId="3" borderId="13" xfId="0" applyNumberFormat="1" applyFont="1" applyFill="1" applyBorder="1" applyAlignment="1">
      <alignment horizontal="center" vertical="center" wrapText="1" shrinkToFit="1"/>
    </xf>
    <xf numFmtId="0" fontId="5" fillId="3" borderId="19" xfId="0" applyFont="1" applyFill="1" applyBorder="1" applyAlignment="1">
      <alignment horizontal="center" vertical="center" wrapText="1"/>
    </xf>
    <xf numFmtId="3" fontId="6" fillId="6" borderId="3" xfId="1" applyNumberFormat="1" applyFont="1" applyFill="1" applyBorder="1" applyAlignment="1">
      <alignment vertical="center" wrapText="1"/>
    </xf>
    <xf numFmtId="3" fontId="11" fillId="0" borderId="13" xfId="1" applyNumberFormat="1" applyFont="1" applyBorder="1" applyAlignment="1">
      <alignment vertical="center" wrapText="1"/>
    </xf>
    <xf numFmtId="3" fontId="4" fillId="6" borderId="53" xfId="1" applyNumberFormat="1" applyFont="1" applyFill="1" applyBorder="1" applyAlignment="1">
      <alignment vertical="center" wrapText="1"/>
    </xf>
    <xf numFmtId="3" fontId="4" fillId="6" borderId="64" xfId="0" applyNumberFormat="1" applyFont="1" applyFill="1" applyBorder="1" applyAlignment="1">
      <alignment vertical="center" wrapText="1"/>
    </xf>
    <xf numFmtId="3" fontId="9" fillId="3" borderId="27" xfId="1" applyNumberFormat="1" applyFont="1" applyFill="1" applyBorder="1" applyAlignment="1">
      <alignment vertical="center" wrapText="1"/>
    </xf>
    <xf numFmtId="3" fontId="9" fillId="7" borderId="26" xfId="1" applyNumberFormat="1" applyFont="1" applyFill="1" applyBorder="1" applyAlignment="1">
      <alignment vertical="center" wrapText="1"/>
    </xf>
    <xf numFmtId="0" fontId="8" fillId="0" borderId="33" xfId="1" applyFont="1" applyFill="1" applyBorder="1" applyAlignment="1">
      <alignment horizontal="center" vertical="center" wrapText="1"/>
    </xf>
    <xf numFmtId="3" fontId="14" fillId="7" borderId="26" xfId="1" applyNumberFormat="1" applyFont="1" applyFill="1" applyBorder="1" applyAlignment="1">
      <alignment vertical="center" wrapText="1"/>
    </xf>
    <xf numFmtId="3" fontId="20" fillId="7" borderId="26" xfId="1" applyNumberFormat="1" applyFont="1" applyFill="1" applyBorder="1" applyAlignment="1">
      <alignment vertical="center" wrapText="1"/>
    </xf>
    <xf numFmtId="3" fontId="14" fillId="3" borderId="27" xfId="1" applyNumberFormat="1" applyFont="1" applyFill="1" applyBorder="1" applyAlignment="1">
      <alignment vertical="center" wrapText="1"/>
    </xf>
    <xf numFmtId="0" fontId="36" fillId="3" borderId="34" xfId="0" applyFont="1" applyFill="1" applyBorder="1" applyAlignment="1">
      <alignment horizontal="center" vertical="center" wrapText="1"/>
    </xf>
    <xf numFmtId="0" fontId="35" fillId="3" borderId="37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49" fontId="8" fillId="3" borderId="25" xfId="0" applyNumberFormat="1" applyFont="1" applyFill="1" applyBorder="1" applyAlignment="1">
      <alignment horizontal="center" vertical="center" wrapText="1"/>
    </xf>
    <xf numFmtId="3" fontId="11" fillId="7" borderId="13" xfId="1" applyNumberFormat="1" applyFont="1" applyFill="1" applyBorder="1" applyAlignment="1">
      <alignment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4" fillId="6" borderId="4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25" xfId="1" applyFont="1" applyFill="1" applyBorder="1" applyAlignment="1">
      <alignment horizontal="center" vertical="center" wrapText="1"/>
    </xf>
    <xf numFmtId="0" fontId="4" fillId="0" borderId="32" xfId="1" applyFont="1" applyBorder="1" applyAlignment="1">
      <alignment horizontal="center" vertical="center" wrapText="1"/>
    </xf>
    <xf numFmtId="0" fontId="4" fillId="0" borderId="27" xfId="1" applyFont="1" applyBorder="1" applyAlignment="1">
      <alignment horizontal="center" vertical="center" wrapText="1"/>
    </xf>
    <xf numFmtId="3" fontId="11" fillId="7" borderId="23" xfId="1" applyNumberFormat="1" applyFont="1" applyFill="1" applyBorder="1" applyAlignment="1">
      <alignment vertical="center" wrapText="1"/>
    </xf>
    <xf numFmtId="3" fontId="9" fillId="3" borderId="32" xfId="1" applyNumberFormat="1" applyFont="1" applyFill="1" applyBorder="1" applyAlignment="1">
      <alignment vertical="center" wrapText="1"/>
    </xf>
    <xf numFmtId="3" fontId="4" fillId="6" borderId="24" xfId="0" applyNumberFormat="1" applyFont="1" applyFill="1" applyBorder="1" applyAlignment="1">
      <alignment vertical="center" wrapText="1"/>
    </xf>
    <xf numFmtId="0" fontId="8" fillId="0" borderId="33" xfId="0" applyFont="1" applyFill="1" applyBorder="1" applyAlignment="1">
      <alignment horizontal="center" vertical="center" wrapText="1"/>
    </xf>
    <xf numFmtId="3" fontId="20" fillId="4" borderId="18" xfId="0" applyNumberFormat="1" applyFont="1" applyFill="1" applyBorder="1" applyAlignment="1">
      <alignment vertical="center" wrapText="1"/>
    </xf>
    <xf numFmtId="3" fontId="20" fillId="4" borderId="31" xfId="0" applyNumberFormat="1" applyFont="1" applyFill="1" applyBorder="1" applyAlignment="1">
      <alignment vertical="center"/>
    </xf>
    <xf numFmtId="3" fontId="20" fillId="0" borderId="26" xfId="0" applyNumberFormat="1" applyFont="1" applyFill="1" applyBorder="1" applyAlignment="1">
      <alignment vertical="center"/>
    </xf>
    <xf numFmtId="3" fontId="20" fillId="7" borderId="23" xfId="1" applyNumberFormat="1" applyFont="1" applyFill="1" applyBorder="1" applyAlignment="1">
      <alignment vertical="center" wrapText="1"/>
    </xf>
    <xf numFmtId="3" fontId="14" fillId="3" borderId="37" xfId="1" applyNumberFormat="1" applyFont="1" applyFill="1" applyBorder="1" applyAlignment="1">
      <alignment vertical="center" wrapText="1"/>
    </xf>
    <xf numFmtId="0" fontId="27" fillId="8" borderId="0" xfId="0" applyFont="1" applyFill="1"/>
    <xf numFmtId="3" fontId="9" fillId="3" borderId="26" xfId="0" applyNumberFormat="1" applyFont="1" applyFill="1" applyBorder="1" applyAlignment="1">
      <alignment vertical="center" wrapText="1"/>
    </xf>
    <xf numFmtId="3" fontId="20" fillId="3" borderId="26" xfId="0" applyNumberFormat="1" applyFont="1" applyFill="1" applyBorder="1" applyAlignment="1">
      <alignment vertical="center" wrapText="1"/>
    </xf>
    <xf numFmtId="3" fontId="20" fillId="3" borderId="37" xfId="1" applyNumberFormat="1" applyFont="1" applyFill="1" applyBorder="1" applyAlignment="1">
      <alignment vertical="center" wrapText="1"/>
    </xf>
    <xf numFmtId="3" fontId="20" fillId="0" borderId="26" xfId="0" applyNumberFormat="1" applyFont="1" applyBorder="1" applyAlignment="1">
      <alignment horizontal="right" vertical="center"/>
    </xf>
    <xf numFmtId="3" fontId="6" fillId="3" borderId="23" xfId="0" applyNumberFormat="1" applyFont="1" applyFill="1" applyBorder="1" applyAlignment="1">
      <alignment vertical="center" wrapText="1"/>
    </xf>
    <xf numFmtId="3" fontId="4" fillId="3" borderId="24" xfId="0" applyNumberFormat="1" applyFont="1" applyFill="1" applyBorder="1" applyAlignment="1">
      <alignment horizontal="right" vertical="center"/>
    </xf>
    <xf numFmtId="49" fontId="12" fillId="9" borderId="23" xfId="0" applyNumberFormat="1" applyFont="1" applyFill="1" applyBorder="1" applyAlignment="1">
      <alignment horizontal="center" vertical="center" wrapText="1"/>
    </xf>
    <xf numFmtId="0" fontId="12" fillId="9" borderId="24" xfId="0" applyFont="1" applyFill="1" applyBorder="1" applyAlignment="1">
      <alignment horizontal="center" vertical="center" wrapText="1"/>
    </xf>
    <xf numFmtId="0" fontId="12" fillId="3" borderId="32" xfId="0" applyFont="1" applyFill="1" applyBorder="1" applyAlignment="1">
      <alignment horizontal="center" vertical="center" wrapText="1"/>
    </xf>
    <xf numFmtId="0" fontId="42" fillId="0" borderId="27" xfId="0" applyFont="1" applyFill="1" applyBorder="1" applyAlignment="1">
      <alignment horizontal="center" vertical="center" wrapText="1"/>
    </xf>
    <xf numFmtId="49" fontId="20" fillId="0" borderId="47" xfId="0" applyNumberFormat="1" applyFont="1" applyFill="1" applyBorder="1" applyAlignment="1">
      <alignment horizontal="center" vertical="center" wrapText="1"/>
    </xf>
    <xf numFmtId="49" fontId="20" fillId="0" borderId="13" xfId="0" applyNumberFormat="1" applyFont="1" applyFill="1" applyBorder="1" applyAlignment="1">
      <alignment horizontal="center" vertical="center" wrapText="1"/>
    </xf>
    <xf numFmtId="0" fontId="12" fillId="0" borderId="56" xfId="0" applyFont="1" applyFill="1" applyBorder="1" applyAlignment="1">
      <alignment horizontal="center" vertical="center" wrapText="1"/>
    </xf>
    <xf numFmtId="0" fontId="33" fillId="0" borderId="13" xfId="0" applyFont="1" applyFill="1" applyBorder="1" applyAlignment="1">
      <alignment horizontal="center" vertical="center"/>
    </xf>
    <xf numFmtId="3" fontId="20" fillId="0" borderId="13" xfId="0" applyNumberFormat="1" applyFont="1" applyFill="1" applyBorder="1" applyAlignment="1">
      <alignment horizontal="right" vertical="center"/>
    </xf>
    <xf numFmtId="3" fontId="20" fillId="0" borderId="19" xfId="1" applyNumberFormat="1" applyFont="1" applyFill="1" applyBorder="1" applyAlignment="1">
      <alignment vertical="center" wrapText="1"/>
    </xf>
    <xf numFmtId="3" fontId="20" fillId="0" borderId="13" xfId="0" applyNumberFormat="1" applyFont="1" applyFill="1" applyBorder="1" applyAlignment="1">
      <alignment vertical="center" wrapText="1"/>
    </xf>
    <xf numFmtId="3" fontId="12" fillId="0" borderId="56" xfId="0" applyNumberFormat="1" applyFont="1" applyFill="1" applyBorder="1" applyAlignment="1">
      <alignment horizontal="right" vertical="center"/>
    </xf>
    <xf numFmtId="3" fontId="12" fillId="0" borderId="47" xfId="0" applyNumberFormat="1" applyFont="1" applyFill="1" applyBorder="1" applyAlignment="1">
      <alignment horizontal="right" vertical="center"/>
    </xf>
    <xf numFmtId="3" fontId="12" fillId="0" borderId="19" xfId="0" applyNumberFormat="1" applyFont="1" applyFill="1" applyBorder="1" applyAlignment="1">
      <alignment horizontal="right" vertical="center"/>
    </xf>
    <xf numFmtId="3" fontId="12" fillId="0" borderId="13" xfId="0" applyNumberFormat="1" applyFont="1" applyFill="1" applyBorder="1" applyAlignment="1">
      <alignment vertical="center"/>
    </xf>
    <xf numFmtId="3" fontId="12" fillId="0" borderId="13" xfId="0" applyNumberFormat="1" applyFont="1" applyFill="1" applyBorder="1" applyAlignment="1">
      <alignment horizontal="right" vertical="center"/>
    </xf>
    <xf numFmtId="49" fontId="12" fillId="0" borderId="13" xfId="0" applyNumberFormat="1" applyFont="1" applyFill="1" applyBorder="1" applyAlignment="1">
      <alignment horizontal="center" vertical="center" wrapText="1"/>
    </xf>
    <xf numFmtId="49" fontId="12" fillId="0" borderId="15" xfId="0" applyNumberFormat="1" applyFont="1" applyFill="1" applyBorder="1" applyAlignment="1">
      <alignment horizontal="center" vertical="center" wrapText="1"/>
    </xf>
    <xf numFmtId="3" fontId="4" fillId="6" borderId="31" xfId="0" applyNumberFormat="1" applyFont="1" applyFill="1" applyBorder="1" applyAlignment="1">
      <alignment vertical="center" wrapText="1"/>
    </xf>
    <xf numFmtId="3" fontId="6" fillId="6" borderId="23" xfId="0" applyNumberFormat="1" applyFont="1" applyFill="1" applyBorder="1" applyAlignment="1">
      <alignment vertical="center" wrapText="1"/>
    </xf>
    <xf numFmtId="3" fontId="4" fillId="3" borderId="9" xfId="0" applyNumberFormat="1" applyFont="1" applyFill="1" applyBorder="1" applyAlignment="1">
      <alignment vertical="center" wrapText="1"/>
    </xf>
    <xf numFmtId="3" fontId="12" fillId="0" borderId="52" xfId="0" applyNumberFormat="1" applyFont="1" applyFill="1" applyBorder="1" applyAlignment="1">
      <alignment vertical="center" wrapText="1"/>
    </xf>
    <xf numFmtId="3" fontId="12" fillId="0" borderId="6" xfId="0" applyNumberFormat="1" applyFont="1" applyFill="1" applyBorder="1" applyAlignment="1">
      <alignment vertical="center" wrapText="1"/>
    </xf>
    <xf numFmtId="3" fontId="4" fillId="9" borderId="32" xfId="0" applyNumberFormat="1" applyFont="1" applyFill="1" applyBorder="1" applyAlignment="1">
      <alignment vertical="center" wrapText="1"/>
    </xf>
    <xf numFmtId="3" fontId="30" fillId="0" borderId="61" xfId="0" applyNumberFormat="1" applyFont="1" applyFill="1" applyBorder="1"/>
    <xf numFmtId="3" fontId="30" fillId="0" borderId="1" xfId="0" applyNumberFormat="1" applyFont="1" applyFill="1" applyBorder="1"/>
    <xf numFmtId="3" fontId="30" fillId="0" borderId="62" xfId="0" applyNumberFormat="1" applyFont="1" applyFill="1" applyBorder="1"/>
    <xf numFmtId="3" fontId="30" fillId="0" borderId="16" xfId="0" applyNumberFormat="1" applyFont="1" applyFill="1" applyBorder="1"/>
    <xf numFmtId="1" fontId="4" fillId="7" borderId="18" xfId="1" applyNumberFormat="1" applyFont="1" applyFill="1" applyBorder="1" applyAlignment="1">
      <alignment horizontal="center" vertical="center" wrapText="1"/>
    </xf>
    <xf numFmtId="3" fontId="4" fillId="7" borderId="18" xfId="0" applyNumberFormat="1" applyFont="1" applyFill="1" applyBorder="1" applyAlignment="1">
      <alignment horizontal="center" vertical="center" wrapText="1" shrinkToFit="1"/>
    </xf>
    <xf numFmtId="3" fontId="20" fillId="0" borderId="5" xfId="1" applyNumberFormat="1" applyFont="1" applyFill="1" applyBorder="1" applyAlignment="1">
      <alignment vertical="center" wrapText="1"/>
    </xf>
    <xf numFmtId="3" fontId="6" fillId="3" borderId="8" xfId="1" applyNumberFormat="1" applyFont="1" applyFill="1" applyBorder="1" applyAlignment="1">
      <alignment vertical="center" wrapText="1"/>
    </xf>
    <xf numFmtId="3" fontId="6" fillId="3" borderId="5" xfId="1" applyNumberFormat="1" applyFont="1" applyFill="1" applyBorder="1" applyAlignment="1">
      <alignment vertical="center" wrapText="1"/>
    </xf>
    <xf numFmtId="3" fontId="20" fillId="0" borderId="18" xfId="1" applyNumberFormat="1" applyFont="1" applyFill="1" applyBorder="1" applyAlignment="1">
      <alignment vertical="center" wrapText="1"/>
    </xf>
    <xf numFmtId="3" fontId="11" fillId="9" borderId="26" xfId="0" applyNumberFormat="1" applyFont="1" applyFill="1" applyBorder="1" applyAlignment="1">
      <alignment vertical="center" wrapText="1"/>
    </xf>
    <xf numFmtId="3" fontId="20" fillId="0" borderId="14" xfId="0" applyNumberFormat="1" applyFont="1" applyFill="1" applyBorder="1" applyAlignment="1">
      <alignment vertical="center" wrapText="1"/>
    </xf>
    <xf numFmtId="49" fontId="12" fillId="0" borderId="1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49" fontId="10" fillId="0" borderId="31" xfId="0" applyNumberFormat="1" applyFont="1" applyBorder="1" applyAlignment="1">
      <alignment horizontal="center" vertical="center"/>
    </xf>
    <xf numFmtId="49" fontId="4" fillId="0" borderId="30" xfId="0" applyNumberFormat="1" applyFont="1" applyFill="1" applyBorder="1" applyAlignment="1">
      <alignment horizontal="center" vertical="center"/>
    </xf>
    <xf numFmtId="49" fontId="4" fillId="6" borderId="49" xfId="0" applyNumberFormat="1" applyFont="1" applyFill="1" applyBorder="1" applyAlignment="1">
      <alignment horizontal="center" vertical="center" wrapText="1"/>
    </xf>
    <xf numFmtId="49" fontId="4" fillId="6" borderId="41" xfId="0" applyNumberFormat="1" applyFont="1" applyFill="1" applyBorder="1" applyAlignment="1">
      <alignment horizontal="center" vertical="center" wrapText="1"/>
    </xf>
    <xf numFmtId="49" fontId="8" fillId="0" borderId="25" xfId="0" applyNumberFormat="1" applyFont="1" applyFill="1" applyBorder="1" applyAlignment="1">
      <alignment horizontal="center" vertical="center" wrapText="1"/>
    </xf>
    <xf numFmtId="49" fontId="4" fillId="3" borderId="34" xfId="0" applyNumberFormat="1" applyFont="1" applyFill="1" applyBorder="1" applyAlignment="1">
      <alignment horizontal="center" vertical="center" wrapText="1"/>
    </xf>
    <xf numFmtId="49" fontId="12" fillId="0" borderId="30" xfId="0" applyNumberFormat="1" applyFont="1" applyFill="1" applyBorder="1" applyAlignment="1">
      <alignment horizontal="center" vertical="center" wrapText="1"/>
    </xf>
    <xf numFmtId="49" fontId="4" fillId="6" borderId="25" xfId="0" applyNumberFormat="1" applyFont="1" applyFill="1" applyBorder="1" applyAlignment="1">
      <alignment horizontal="center" vertical="center" wrapText="1"/>
    </xf>
    <xf numFmtId="49" fontId="4" fillId="3" borderId="39" xfId="0" applyNumberFormat="1" applyFont="1" applyFill="1" applyBorder="1" applyAlignment="1">
      <alignment horizontal="center" vertical="center" wrapText="1"/>
    </xf>
    <xf numFmtId="0" fontId="4" fillId="0" borderId="30" xfId="0" applyNumberFormat="1" applyFont="1" applyFill="1" applyBorder="1" applyAlignment="1">
      <alignment horizontal="center" vertical="center" wrapText="1"/>
    </xf>
    <xf numFmtId="49" fontId="6" fillId="7" borderId="12" xfId="1" applyNumberFormat="1" applyFont="1" applyFill="1" applyBorder="1" applyAlignment="1">
      <alignment horizontal="center" vertical="center" wrapText="1"/>
    </xf>
    <xf numFmtId="49" fontId="4" fillId="6" borderId="26" xfId="0" applyNumberFormat="1" applyFont="1" applyFill="1" applyBorder="1" applyAlignment="1">
      <alignment horizontal="center" vertical="center" wrapText="1"/>
    </xf>
    <xf numFmtId="4" fontId="6" fillId="10" borderId="16" xfId="0" applyNumberFormat="1" applyFont="1" applyFill="1" applyBorder="1" applyAlignment="1">
      <alignment horizontal="center" vertical="center" wrapText="1"/>
    </xf>
    <xf numFmtId="3" fontId="4" fillId="0" borderId="17" xfId="0" applyNumberFormat="1" applyFont="1" applyFill="1" applyBorder="1" applyAlignment="1">
      <alignment vertical="center" wrapText="1"/>
    </xf>
    <xf numFmtId="3" fontId="10" fillId="0" borderId="15" xfId="0" applyNumberFormat="1" applyFont="1" applyBorder="1" applyAlignment="1">
      <alignment vertical="center" wrapText="1"/>
    </xf>
    <xf numFmtId="3" fontId="4" fillId="0" borderId="12" xfId="0" applyNumberFormat="1" applyFont="1" applyBorder="1" applyAlignment="1">
      <alignment vertical="center" wrapText="1"/>
    </xf>
    <xf numFmtId="3" fontId="4" fillId="6" borderId="28" xfId="0" applyNumberFormat="1" applyFont="1" applyFill="1" applyBorder="1" applyAlignment="1">
      <alignment vertical="center" wrapText="1"/>
    </xf>
    <xf numFmtId="3" fontId="4" fillId="3" borderId="46" xfId="0" applyNumberFormat="1" applyFont="1" applyFill="1" applyBorder="1" applyAlignment="1">
      <alignment vertical="center" wrapText="1"/>
    </xf>
    <xf numFmtId="3" fontId="4" fillId="0" borderId="46" xfId="0" applyNumberFormat="1" applyFont="1" applyFill="1" applyBorder="1" applyAlignment="1">
      <alignment vertical="center" wrapText="1"/>
    </xf>
    <xf numFmtId="3" fontId="8" fillId="3" borderId="46" xfId="0" applyNumberFormat="1" applyFont="1" applyFill="1" applyBorder="1" applyAlignment="1">
      <alignment vertical="center" wrapText="1"/>
    </xf>
    <xf numFmtId="3" fontId="12" fillId="0" borderId="46" xfId="0" applyNumberFormat="1" applyFont="1" applyFill="1" applyBorder="1" applyAlignment="1">
      <alignment vertical="center" wrapText="1"/>
    </xf>
    <xf numFmtId="3" fontId="13" fillId="3" borderId="46" xfId="0" applyNumberFormat="1" applyFont="1" applyFill="1" applyBorder="1" applyAlignment="1">
      <alignment vertical="center" wrapText="1"/>
    </xf>
    <xf numFmtId="3" fontId="13" fillId="0" borderId="46" xfId="0" applyNumberFormat="1" applyFont="1" applyFill="1" applyBorder="1" applyAlignment="1">
      <alignment vertical="center" wrapText="1"/>
    </xf>
    <xf numFmtId="3" fontId="4" fillId="0" borderId="40" xfId="0" applyNumberFormat="1" applyFont="1" applyFill="1" applyBorder="1" applyAlignment="1">
      <alignment vertical="center" wrapText="1"/>
    </xf>
    <xf numFmtId="3" fontId="8" fillId="0" borderId="46" xfId="0" applyNumberFormat="1" applyFont="1" applyFill="1" applyBorder="1" applyAlignment="1">
      <alignment vertical="center" wrapText="1"/>
    </xf>
    <xf numFmtId="3" fontId="4" fillId="3" borderId="54" xfId="0" applyNumberFormat="1" applyFont="1" applyFill="1" applyBorder="1" applyAlignment="1">
      <alignment vertical="center" wrapText="1"/>
    </xf>
    <xf numFmtId="3" fontId="4" fillId="3" borderId="53" xfId="0" applyNumberFormat="1" applyFont="1" applyFill="1" applyBorder="1" applyAlignment="1">
      <alignment vertical="center" wrapText="1"/>
    </xf>
    <xf numFmtId="3" fontId="4" fillId="0" borderId="53" xfId="0" applyNumberFormat="1" applyFont="1" applyFill="1" applyBorder="1" applyAlignment="1">
      <alignment vertical="center" wrapText="1"/>
    </xf>
    <xf numFmtId="3" fontId="13" fillId="0" borderId="32" xfId="0" applyNumberFormat="1" applyFont="1" applyFill="1" applyBorder="1" applyAlignment="1">
      <alignment vertical="center" wrapText="1"/>
    </xf>
    <xf numFmtId="3" fontId="4" fillId="3" borderId="46" xfId="0" applyNumberFormat="1" applyFont="1" applyFill="1" applyBorder="1" applyAlignment="1">
      <alignment vertical="center"/>
    </xf>
    <xf numFmtId="3" fontId="8" fillId="3" borderId="46" xfId="0" applyNumberFormat="1" applyFont="1" applyFill="1" applyBorder="1" applyAlignment="1">
      <alignment vertical="center"/>
    </xf>
    <xf numFmtId="3" fontId="12" fillId="0" borderId="32" xfId="1" applyNumberFormat="1" applyFont="1" applyFill="1" applyBorder="1" applyAlignment="1">
      <alignment vertical="center" wrapText="1"/>
    </xf>
    <xf numFmtId="3" fontId="4" fillId="0" borderId="32" xfId="1" applyNumberFormat="1" applyFont="1" applyFill="1" applyBorder="1" applyAlignment="1">
      <alignment vertical="center" wrapText="1"/>
    </xf>
    <xf numFmtId="3" fontId="4" fillId="0" borderId="54" xfId="0" applyNumberFormat="1" applyFont="1" applyFill="1" applyBorder="1" applyAlignment="1">
      <alignment vertical="center" wrapText="1"/>
    </xf>
    <xf numFmtId="3" fontId="4" fillId="6" borderId="53" xfId="0" applyNumberFormat="1" applyFont="1" applyFill="1" applyBorder="1" applyAlignment="1">
      <alignment vertical="center" wrapText="1"/>
    </xf>
    <xf numFmtId="3" fontId="4" fillId="6" borderId="46" xfId="0" applyNumberFormat="1" applyFont="1" applyFill="1" applyBorder="1" applyAlignment="1">
      <alignment vertical="center" wrapText="1"/>
    </xf>
    <xf numFmtId="3" fontId="4" fillId="6" borderId="59" xfId="0" applyNumberFormat="1" applyFont="1" applyFill="1" applyBorder="1" applyAlignment="1">
      <alignment vertical="center" wrapText="1"/>
    </xf>
    <xf numFmtId="3" fontId="8" fillId="0" borderId="53" xfId="0" applyNumberFormat="1" applyFont="1" applyFill="1" applyBorder="1" applyAlignment="1">
      <alignment vertical="center" wrapText="1"/>
    </xf>
    <xf numFmtId="3" fontId="4" fillId="3" borderId="48" xfId="0" applyNumberFormat="1" applyFont="1" applyFill="1" applyBorder="1" applyAlignment="1">
      <alignment vertical="center" wrapText="1"/>
    </xf>
    <xf numFmtId="3" fontId="10" fillId="0" borderId="53" xfId="0" applyNumberFormat="1" applyFont="1" applyFill="1" applyBorder="1" applyAlignment="1">
      <alignment vertical="center"/>
    </xf>
    <xf numFmtId="3" fontId="4" fillId="0" borderId="46" xfId="0" applyNumberFormat="1" applyFont="1" applyFill="1" applyBorder="1" applyAlignment="1">
      <alignment vertical="center"/>
    </xf>
    <xf numFmtId="3" fontId="12" fillId="0" borderId="46" xfId="0" applyNumberFormat="1" applyFont="1" applyFill="1" applyBorder="1" applyAlignment="1">
      <alignment vertical="center"/>
    </xf>
    <xf numFmtId="3" fontId="12" fillId="3" borderId="46" xfId="0" applyNumberFormat="1" applyFont="1" applyFill="1" applyBorder="1" applyAlignment="1">
      <alignment vertical="center"/>
    </xf>
    <xf numFmtId="3" fontId="4" fillId="0" borderId="46" xfId="0" applyNumberFormat="1" applyFont="1" applyBorder="1" applyAlignment="1">
      <alignment vertical="center"/>
    </xf>
    <xf numFmtId="3" fontId="4" fillId="0" borderId="54" xfId="0" applyNumberFormat="1" applyFont="1" applyFill="1" applyBorder="1" applyAlignment="1">
      <alignment vertical="center"/>
    </xf>
    <xf numFmtId="3" fontId="4" fillId="0" borderId="57" xfId="0" applyNumberFormat="1" applyFont="1" applyFill="1" applyBorder="1" applyAlignment="1">
      <alignment vertical="center"/>
    </xf>
    <xf numFmtId="3" fontId="4" fillId="9" borderId="46" xfId="0" applyNumberFormat="1" applyFont="1" applyFill="1" applyBorder="1" applyAlignment="1">
      <alignment vertical="center"/>
    </xf>
    <xf numFmtId="3" fontId="4" fillId="3" borderId="53" xfId="0" applyNumberFormat="1" applyFont="1" applyFill="1" applyBorder="1" applyAlignment="1">
      <alignment vertical="center"/>
    </xf>
    <xf numFmtId="3" fontId="4" fillId="9" borderId="54" xfId="0" applyNumberFormat="1" applyFont="1" applyFill="1" applyBorder="1" applyAlignment="1">
      <alignment vertical="center"/>
    </xf>
    <xf numFmtId="3" fontId="4" fillId="9" borderId="57" xfId="0" applyNumberFormat="1" applyFont="1" applyFill="1" applyBorder="1" applyAlignment="1">
      <alignment vertical="center"/>
    </xf>
    <xf numFmtId="3" fontId="10" fillId="0" borderId="53" xfId="0" applyNumberFormat="1" applyFont="1" applyBorder="1" applyAlignment="1">
      <alignment vertical="center"/>
    </xf>
    <xf numFmtId="3" fontId="4" fillId="0" borderId="53" xfId="0" applyNumberFormat="1" applyFont="1" applyFill="1" applyBorder="1" applyAlignment="1">
      <alignment vertical="center"/>
    </xf>
    <xf numFmtId="3" fontId="12" fillId="0" borderId="53" xfId="0" applyNumberFormat="1" applyFont="1" applyFill="1" applyBorder="1" applyAlignment="1">
      <alignment vertical="center"/>
    </xf>
    <xf numFmtId="3" fontId="12" fillId="0" borderId="61" xfId="0" applyNumberFormat="1" applyFont="1" applyFill="1" applyBorder="1" applyAlignment="1">
      <alignment vertical="center"/>
    </xf>
    <xf numFmtId="3" fontId="12" fillId="0" borderId="54" xfId="0" applyNumberFormat="1" applyFont="1" applyFill="1" applyBorder="1" applyAlignment="1">
      <alignment vertical="center"/>
    </xf>
    <xf numFmtId="3" fontId="12" fillId="0" borderId="44" xfId="0" applyNumberFormat="1" applyFont="1" applyFill="1" applyBorder="1" applyAlignment="1">
      <alignment horizontal="right" vertical="center"/>
    </xf>
    <xf numFmtId="3" fontId="10" fillId="0" borderId="59" xfId="0" applyNumberFormat="1" applyFont="1" applyFill="1" applyBorder="1" applyAlignment="1">
      <alignment vertical="center" wrapText="1"/>
    </xf>
    <xf numFmtId="3" fontId="12" fillId="0" borderId="53" xfId="0" applyNumberFormat="1" applyFont="1" applyFill="1" applyBorder="1" applyAlignment="1">
      <alignment vertical="center" wrapText="1"/>
    </xf>
    <xf numFmtId="3" fontId="4" fillId="3" borderId="51" xfId="0" applyNumberFormat="1" applyFont="1" applyFill="1" applyBorder="1" applyAlignment="1">
      <alignment vertical="center" wrapText="1"/>
    </xf>
    <xf numFmtId="3" fontId="4" fillId="3" borderId="6" xfId="0" applyNumberFormat="1" applyFont="1" applyFill="1" applyBorder="1" applyAlignment="1">
      <alignment vertical="center" wrapText="1"/>
    </xf>
    <xf numFmtId="3" fontId="4" fillId="3" borderId="61" xfId="0" applyNumberFormat="1" applyFont="1" applyFill="1" applyBorder="1" applyAlignment="1">
      <alignment vertical="center" wrapText="1"/>
    </xf>
    <xf numFmtId="3" fontId="4" fillId="3" borderId="16" xfId="0" applyNumberFormat="1" applyFont="1" applyFill="1" applyBorder="1" applyAlignment="1">
      <alignment vertical="center" wrapText="1"/>
    </xf>
    <xf numFmtId="3" fontId="10" fillId="0" borderId="53" xfId="0" applyNumberFormat="1" applyFont="1" applyFill="1" applyBorder="1" applyAlignment="1">
      <alignment vertical="center" wrapText="1"/>
    </xf>
    <xf numFmtId="3" fontId="4" fillId="0" borderId="61" xfId="0" applyNumberFormat="1" applyFont="1" applyFill="1" applyBorder="1" applyAlignment="1">
      <alignment vertical="center" wrapText="1"/>
    </xf>
    <xf numFmtId="3" fontId="4" fillId="0" borderId="48" xfId="0" applyNumberFormat="1" applyFont="1" applyFill="1" applyBorder="1" applyAlignment="1">
      <alignment vertical="center" wrapText="1"/>
    </xf>
    <xf numFmtId="3" fontId="4" fillId="3" borderId="57" xfId="0" applyNumberFormat="1" applyFont="1" applyFill="1" applyBorder="1" applyAlignment="1">
      <alignment vertical="center" wrapText="1"/>
    </xf>
    <xf numFmtId="3" fontId="10" fillId="0" borderId="54" xfId="0" applyNumberFormat="1" applyFont="1" applyFill="1" applyBorder="1" applyAlignment="1">
      <alignment vertical="center"/>
    </xf>
    <xf numFmtId="3" fontId="21" fillId="3" borderId="46" xfId="0" applyNumberFormat="1" applyFont="1" applyFill="1" applyBorder="1" applyAlignment="1">
      <alignment vertical="center"/>
    </xf>
    <xf numFmtId="4" fontId="6" fillId="11" borderId="1" xfId="0" applyNumberFormat="1" applyFont="1" applyFill="1" applyBorder="1" applyAlignment="1">
      <alignment horizontal="center" vertical="center" wrapText="1"/>
    </xf>
    <xf numFmtId="4" fontId="6" fillId="11" borderId="61" xfId="0" applyNumberFormat="1" applyFont="1" applyFill="1" applyBorder="1" applyAlignment="1">
      <alignment horizontal="center" vertical="center" wrapText="1"/>
    </xf>
    <xf numFmtId="4" fontId="6" fillId="11" borderId="52" xfId="0" applyNumberFormat="1" applyFont="1" applyFill="1" applyBorder="1" applyAlignment="1">
      <alignment horizontal="center" vertical="center" wrapText="1"/>
    </xf>
    <xf numFmtId="4" fontId="12" fillId="0" borderId="23" xfId="0" applyNumberFormat="1" applyFont="1" applyFill="1" applyBorder="1" applyAlignment="1">
      <alignment horizontal="center" vertical="center" wrapText="1"/>
    </xf>
    <xf numFmtId="49" fontId="12" fillId="0" borderId="27" xfId="0" applyNumberFormat="1" applyFont="1" applyFill="1" applyBorder="1" applyAlignment="1">
      <alignment horizontal="center" vertical="center" wrapText="1"/>
    </xf>
    <xf numFmtId="49" fontId="10" fillId="0" borderId="19" xfId="0" applyNumberFormat="1" applyFont="1" applyFill="1" applyBorder="1" applyAlignment="1">
      <alignment horizontal="center" vertical="center" wrapText="1"/>
    </xf>
    <xf numFmtId="49" fontId="12" fillId="9" borderId="14" xfId="0" applyNumberFormat="1" applyFont="1" applyFill="1" applyBorder="1" applyAlignment="1">
      <alignment horizontal="center" vertical="center" wrapText="1"/>
    </xf>
    <xf numFmtId="49" fontId="6" fillId="0" borderId="18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18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7" fillId="0" borderId="18" xfId="1" applyFont="1" applyFill="1" applyBorder="1" applyAlignment="1">
      <alignment horizontal="center" vertical="center" wrapText="1"/>
    </xf>
    <xf numFmtId="165" fontId="6" fillId="0" borderId="5" xfId="1" applyNumberFormat="1" applyFont="1" applyFill="1" applyBorder="1" applyAlignment="1">
      <alignment vertical="center" wrapText="1"/>
    </xf>
    <xf numFmtId="4" fontId="6" fillId="0" borderId="51" xfId="0" applyNumberFormat="1" applyFont="1" applyFill="1" applyBorder="1" applyAlignment="1">
      <alignment horizontal="center" vertical="center" wrapText="1"/>
    </xf>
    <xf numFmtId="4" fontId="6" fillId="0" borderId="38" xfId="0" applyNumberFormat="1" applyFont="1" applyFill="1" applyBorder="1" applyAlignment="1">
      <alignment horizontal="center" vertical="center" wrapText="1"/>
    </xf>
    <xf numFmtId="4" fontId="6" fillId="0" borderId="52" xfId="0" applyNumberFormat="1" applyFont="1" applyFill="1" applyBorder="1" applyAlignment="1">
      <alignment horizontal="center" vertical="center" wrapText="1"/>
    </xf>
    <xf numFmtId="4" fontId="6" fillId="0" borderId="6" xfId="0" applyNumberFormat="1" applyFont="1" applyFill="1" applyBorder="1" applyAlignment="1">
      <alignment horizontal="center" vertical="center" wrapText="1"/>
    </xf>
    <xf numFmtId="4" fontId="6" fillId="0" borderId="5" xfId="0" applyNumberFormat="1" applyFont="1" applyFill="1" applyBorder="1" applyAlignment="1">
      <alignment horizontal="center" vertical="center" wrapText="1"/>
    </xf>
    <xf numFmtId="4" fontId="6" fillId="0" borderId="18" xfId="0" applyNumberFormat="1" applyFont="1" applyFill="1" applyBorder="1" applyAlignment="1">
      <alignment horizontal="center" vertical="center" wrapText="1"/>
    </xf>
    <xf numFmtId="4" fontId="6" fillId="0" borderId="5" xfId="0" applyNumberFormat="1" applyFont="1" applyFill="1" applyBorder="1" applyAlignment="1">
      <alignment horizontal="right" vertical="center" wrapText="1"/>
    </xf>
    <xf numFmtId="0" fontId="4" fillId="3" borderId="9" xfId="0" applyFont="1" applyFill="1" applyBorder="1" applyAlignment="1">
      <alignment horizontal="center" vertical="center" wrapText="1"/>
    </xf>
    <xf numFmtId="49" fontId="9" fillId="0" borderId="33" xfId="0" applyNumberFormat="1" applyFont="1" applyFill="1" applyBorder="1" applyAlignment="1">
      <alignment horizontal="center" vertical="center" wrapText="1"/>
    </xf>
    <xf numFmtId="49" fontId="9" fillId="0" borderId="33" xfId="0" applyNumberFormat="1" applyFont="1" applyFill="1" applyBorder="1" applyAlignment="1">
      <alignment horizontal="center" vertical="center" wrapText="1" shrinkToFit="1"/>
    </xf>
    <xf numFmtId="0" fontId="8" fillId="0" borderId="35" xfId="1" applyFont="1" applyFill="1" applyBorder="1" applyAlignment="1">
      <alignment horizontal="center" vertical="center" wrapText="1"/>
    </xf>
    <xf numFmtId="0" fontId="35" fillId="0" borderId="41" xfId="0" applyFont="1" applyFill="1" applyBorder="1" applyAlignment="1">
      <alignment horizontal="center" vertical="center" wrapText="1"/>
    </xf>
    <xf numFmtId="3" fontId="8" fillId="0" borderId="42" xfId="0" applyNumberFormat="1" applyFont="1" applyFill="1" applyBorder="1" applyAlignment="1">
      <alignment vertical="center" wrapText="1"/>
    </xf>
    <xf numFmtId="3" fontId="8" fillId="0" borderId="35" xfId="0" applyNumberFormat="1" applyFont="1" applyFill="1" applyBorder="1" applyAlignment="1">
      <alignment vertical="center" wrapText="1"/>
    </xf>
    <xf numFmtId="3" fontId="8" fillId="0" borderId="33" xfId="0" applyNumberFormat="1" applyFont="1" applyFill="1" applyBorder="1" applyAlignment="1">
      <alignment vertical="center" wrapText="1"/>
    </xf>
    <xf numFmtId="3" fontId="8" fillId="0" borderId="34" xfId="0" applyNumberFormat="1" applyFont="1" applyFill="1" applyBorder="1" applyAlignment="1">
      <alignment vertical="center" wrapText="1"/>
    </xf>
    <xf numFmtId="3" fontId="8" fillId="0" borderId="40" xfId="0" applyNumberFormat="1" applyFont="1" applyFill="1" applyBorder="1" applyAlignment="1">
      <alignment vertical="center" wrapText="1"/>
    </xf>
    <xf numFmtId="49" fontId="33" fillId="0" borderId="26" xfId="0" applyNumberFormat="1" applyFont="1" applyFill="1" applyBorder="1" applyAlignment="1">
      <alignment horizontal="center" vertical="center" wrapText="1"/>
    </xf>
    <xf numFmtId="49" fontId="33" fillId="0" borderId="49" xfId="0" applyNumberFormat="1" applyFont="1" applyFill="1" applyBorder="1" applyAlignment="1">
      <alignment horizontal="center" vertical="center" wrapText="1"/>
    </xf>
    <xf numFmtId="3" fontId="9" fillId="7" borderId="2" xfId="0" applyNumberFormat="1" applyFont="1" applyFill="1" applyBorder="1" applyAlignment="1">
      <alignment vertical="center" wrapText="1"/>
    </xf>
    <xf numFmtId="3" fontId="11" fillId="7" borderId="26" xfId="0" applyNumberFormat="1" applyFont="1" applyFill="1" applyBorder="1" applyAlignment="1">
      <alignment vertical="center" wrapText="1"/>
    </xf>
    <xf numFmtId="3" fontId="11" fillId="7" borderId="23" xfId="0" applyNumberFormat="1" applyFont="1" applyFill="1" applyBorder="1" applyAlignment="1">
      <alignment vertical="center" wrapText="1"/>
    </xf>
    <xf numFmtId="3" fontId="6" fillId="7" borderId="26" xfId="0" applyNumberFormat="1" applyFont="1" applyFill="1" applyBorder="1" applyAlignment="1">
      <alignment vertical="center" wrapText="1"/>
    </xf>
    <xf numFmtId="3" fontId="20" fillId="7" borderId="26" xfId="0" applyNumberFormat="1" applyFont="1" applyFill="1" applyBorder="1" applyAlignment="1">
      <alignment vertical="center" wrapText="1"/>
    </xf>
    <xf numFmtId="3" fontId="6" fillId="3" borderId="31" xfId="0" applyNumberFormat="1" applyFont="1" applyFill="1" applyBorder="1" applyAlignment="1">
      <alignment vertical="center" wrapText="1"/>
    </xf>
    <xf numFmtId="3" fontId="6" fillId="7" borderId="23" xfId="0" applyNumberFormat="1" applyFont="1" applyFill="1" applyBorder="1" applyAlignment="1">
      <alignment vertical="center" wrapText="1"/>
    </xf>
    <xf numFmtId="3" fontId="6" fillId="7" borderId="13" xfId="0" applyNumberFormat="1" applyFont="1" applyFill="1" applyBorder="1" applyAlignment="1">
      <alignment vertical="center" wrapText="1"/>
    </xf>
    <xf numFmtId="3" fontId="6" fillId="7" borderId="2" xfId="0" applyNumberFormat="1" applyFont="1" applyFill="1" applyBorder="1" applyAlignment="1">
      <alignment vertical="center" wrapText="1"/>
    </xf>
    <xf numFmtId="3" fontId="20" fillId="7" borderId="13" xfId="0" applyNumberFormat="1" applyFont="1" applyFill="1" applyBorder="1" applyAlignment="1">
      <alignment vertical="center" wrapText="1"/>
    </xf>
    <xf numFmtId="3" fontId="20" fillId="7" borderId="23" xfId="0" applyNumberFormat="1" applyFont="1" applyFill="1" applyBorder="1" applyAlignment="1">
      <alignment vertical="center" wrapText="1"/>
    </xf>
    <xf numFmtId="0" fontId="19" fillId="0" borderId="26" xfId="0" applyFont="1" applyFill="1" applyBorder="1" applyAlignment="1">
      <alignment horizontal="center" vertical="center"/>
    </xf>
    <xf numFmtId="3" fontId="12" fillId="0" borderId="64" xfId="0" applyNumberFormat="1" applyFont="1" applyFill="1" applyBorder="1" applyAlignment="1">
      <alignment vertical="center"/>
    </xf>
    <xf numFmtId="3" fontId="6" fillId="6" borderId="26" xfId="0" applyNumberFormat="1" applyFont="1" applyFill="1" applyBorder="1" applyAlignment="1">
      <alignment vertical="center" wrapText="1"/>
    </xf>
    <xf numFmtId="3" fontId="4" fillId="6" borderId="25" xfId="0" applyNumberFormat="1" applyFont="1" applyFill="1" applyBorder="1" applyAlignment="1">
      <alignment vertical="center" wrapText="1"/>
    </xf>
    <xf numFmtId="3" fontId="6" fillId="7" borderId="14" xfId="0" applyNumberFormat="1" applyFont="1" applyFill="1" applyBorder="1" applyAlignment="1">
      <alignment vertical="center" wrapText="1"/>
    </xf>
    <xf numFmtId="3" fontId="4" fillId="0" borderId="61" xfId="0" applyNumberFormat="1" applyFont="1" applyFill="1" applyBorder="1" applyAlignment="1">
      <alignment vertical="center"/>
    </xf>
    <xf numFmtId="0" fontId="12" fillId="0" borderId="26" xfId="0" applyNumberFormat="1" applyFont="1" applyFill="1" applyBorder="1" applyAlignment="1">
      <alignment horizontal="center" vertical="center" wrapText="1"/>
    </xf>
    <xf numFmtId="3" fontId="22" fillId="3" borderId="26" xfId="1" applyNumberFormat="1" applyFont="1" applyFill="1" applyBorder="1" applyAlignment="1">
      <alignment vertical="center" wrapText="1"/>
    </xf>
    <xf numFmtId="4" fontId="4" fillId="7" borderId="10" xfId="0" applyNumberFormat="1" applyFont="1" applyFill="1" applyBorder="1" applyAlignment="1">
      <alignment horizontal="left"/>
    </xf>
    <xf numFmtId="0" fontId="4" fillId="7" borderId="7" xfId="0" applyFont="1" applyFill="1" applyBorder="1" applyAlignment="1">
      <alignment horizontal="center"/>
    </xf>
    <xf numFmtId="0" fontId="5" fillId="7" borderId="7" xfId="0" applyFont="1" applyFill="1" applyBorder="1" applyAlignment="1">
      <alignment horizontal="center"/>
    </xf>
    <xf numFmtId="3" fontId="6" fillId="7" borderId="3" xfId="0" applyNumberFormat="1" applyFont="1" applyFill="1" applyBorder="1" applyAlignment="1"/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3" fontId="4" fillId="3" borderId="10" xfId="0" applyNumberFormat="1" applyFont="1" applyFill="1" applyBorder="1" applyAlignment="1">
      <alignment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/>
    </xf>
    <xf numFmtId="3" fontId="4" fillId="3" borderId="40" xfId="0" applyNumberFormat="1" applyFont="1" applyFill="1" applyBorder="1" applyAlignment="1">
      <alignment vertical="center" wrapText="1"/>
    </xf>
    <xf numFmtId="0" fontId="35" fillId="3" borderId="41" xfId="0" applyFont="1" applyFill="1" applyBorder="1" applyAlignment="1">
      <alignment horizontal="center" vertical="center"/>
    </xf>
    <xf numFmtId="49" fontId="20" fillId="0" borderId="24" xfId="0" applyNumberFormat="1" applyFont="1" applyFill="1" applyBorder="1" applyAlignment="1">
      <alignment horizontal="center" vertical="center"/>
    </xf>
    <xf numFmtId="0" fontId="33" fillId="0" borderId="23" xfId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49" fontId="6" fillId="7" borderId="3" xfId="0" applyNumberFormat="1" applyFont="1" applyFill="1" applyBorder="1" applyAlignment="1">
      <alignment horizontal="center" vertical="center" wrapText="1"/>
    </xf>
    <xf numFmtId="49" fontId="6" fillId="7" borderId="14" xfId="0" applyNumberFormat="1" applyFont="1" applyFill="1" applyBorder="1" applyAlignment="1">
      <alignment horizontal="center" vertical="center" wrapText="1"/>
    </xf>
    <xf numFmtId="49" fontId="9" fillId="0" borderId="46" xfId="0" applyNumberFormat="1" applyFont="1" applyBorder="1" applyAlignment="1">
      <alignment horizontal="center" vertical="center"/>
    </xf>
    <xf numFmtId="49" fontId="9" fillId="0" borderId="20" xfId="0" applyNumberFormat="1" applyFont="1" applyFill="1" applyBorder="1" applyAlignment="1">
      <alignment horizontal="center" vertical="center"/>
    </xf>
    <xf numFmtId="49" fontId="6" fillId="0" borderId="20" xfId="0" applyNumberFormat="1" applyFont="1" applyFill="1" applyBorder="1" applyAlignment="1">
      <alignment horizontal="center" vertical="center" wrapText="1"/>
    </xf>
    <xf numFmtId="49" fontId="6" fillId="0" borderId="40" xfId="0" applyNumberFormat="1" applyFont="1" applyFill="1" applyBorder="1" applyAlignment="1">
      <alignment horizontal="center" vertical="center" wrapText="1"/>
    </xf>
    <xf numFmtId="49" fontId="14" fillId="0" borderId="46" xfId="0" applyNumberFormat="1" applyFont="1" applyFill="1" applyBorder="1" applyAlignment="1">
      <alignment horizontal="center" vertical="center"/>
    </xf>
    <xf numFmtId="49" fontId="14" fillId="0" borderId="20" xfId="0" applyNumberFormat="1" applyFont="1" applyFill="1" applyBorder="1" applyAlignment="1">
      <alignment horizontal="center" vertical="center"/>
    </xf>
    <xf numFmtId="49" fontId="6" fillId="8" borderId="54" xfId="0" applyNumberFormat="1" applyFont="1" applyFill="1" applyBorder="1" applyAlignment="1">
      <alignment horizontal="center" vertical="center" wrapText="1"/>
    </xf>
    <xf numFmtId="49" fontId="6" fillId="8" borderId="47" xfId="0" applyNumberFormat="1" applyFont="1" applyFill="1" applyBorder="1" applyAlignment="1">
      <alignment horizontal="center" vertical="center" wrapText="1"/>
    </xf>
    <xf numFmtId="49" fontId="6" fillId="0" borderId="47" xfId="0" applyNumberFormat="1" applyFont="1" applyFill="1" applyBorder="1" applyAlignment="1">
      <alignment horizontal="center" vertical="center" wrapText="1"/>
    </xf>
    <xf numFmtId="49" fontId="6" fillId="0" borderId="17" xfId="0" applyNumberFormat="1" applyFont="1" applyFill="1" applyBorder="1" applyAlignment="1">
      <alignment horizontal="center" vertical="center" wrapText="1"/>
    </xf>
    <xf numFmtId="49" fontId="11" fillId="0" borderId="46" xfId="0" applyNumberFormat="1" applyFont="1" applyFill="1" applyBorder="1" applyAlignment="1">
      <alignment horizontal="center" vertical="center" wrapText="1"/>
    </xf>
    <xf numFmtId="49" fontId="11" fillId="0" borderId="20" xfId="0" applyNumberFormat="1" applyFont="1" applyFill="1" applyBorder="1" applyAlignment="1">
      <alignment horizontal="center" vertical="center" wrapText="1"/>
    </xf>
    <xf numFmtId="49" fontId="6" fillId="0" borderId="20" xfId="0" applyNumberFormat="1" applyFont="1" applyFill="1" applyBorder="1" applyAlignment="1">
      <alignment horizontal="center" vertical="center"/>
    </xf>
    <xf numFmtId="49" fontId="6" fillId="0" borderId="40" xfId="0" applyNumberFormat="1" applyFont="1" applyFill="1" applyBorder="1" applyAlignment="1">
      <alignment horizontal="center" vertical="center"/>
    </xf>
    <xf numFmtId="49" fontId="6" fillId="7" borderId="10" xfId="0" applyNumberFormat="1" applyFont="1" applyFill="1" applyBorder="1" applyAlignment="1">
      <alignment horizontal="center" vertical="center" wrapText="1"/>
    </xf>
    <xf numFmtId="49" fontId="6" fillId="7" borderId="30" xfId="0" applyNumberFormat="1" applyFont="1" applyFill="1" applyBorder="1" applyAlignment="1">
      <alignment horizontal="center" vertical="center" wrapText="1"/>
    </xf>
    <xf numFmtId="49" fontId="16" fillId="0" borderId="10" xfId="0" applyNumberFormat="1" applyFont="1" applyBorder="1" applyAlignment="1">
      <alignment horizontal="center" vertical="center"/>
    </xf>
    <xf numFmtId="49" fontId="16" fillId="0" borderId="7" xfId="0" applyNumberFormat="1" applyFont="1" applyFill="1" applyBorder="1" applyAlignment="1">
      <alignment horizontal="center" vertical="center"/>
    </xf>
    <xf numFmtId="49" fontId="16" fillId="0" borderId="7" xfId="0" applyNumberFormat="1" applyFont="1" applyBorder="1" applyAlignment="1">
      <alignment horizontal="center" vertical="center"/>
    </xf>
    <xf numFmtId="49" fontId="16" fillId="0" borderId="11" xfId="0" applyNumberFormat="1" applyFont="1" applyBorder="1" applyAlignment="1">
      <alignment horizontal="center" vertical="center"/>
    </xf>
    <xf numFmtId="49" fontId="6" fillId="6" borderId="46" xfId="0" applyNumberFormat="1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/>
    </xf>
    <xf numFmtId="0" fontId="18" fillId="2" borderId="5" xfId="0" applyFont="1" applyFill="1" applyBorder="1" applyAlignment="1">
      <alignment horizontal="center" vertical="center"/>
    </xf>
    <xf numFmtId="0" fontId="18" fillId="2" borderId="6" xfId="0" applyFont="1" applyFill="1" applyBorder="1" applyAlignment="1">
      <alignment horizontal="center" vertical="center"/>
    </xf>
    <xf numFmtId="49" fontId="6" fillId="7" borderId="2" xfId="0" applyNumberFormat="1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2" xfId="1" applyFont="1" applyFill="1" applyBorder="1" applyAlignment="1">
      <alignment horizontal="center" vertical="center" wrapText="1"/>
    </xf>
    <xf numFmtId="0" fontId="7" fillId="7" borderId="2" xfId="1" applyFont="1" applyFill="1" applyBorder="1" applyAlignment="1">
      <alignment horizontal="center" vertical="center" wrapText="1"/>
    </xf>
    <xf numFmtId="0" fontId="6" fillId="7" borderId="13" xfId="1" applyFont="1" applyFill="1" applyBorder="1" applyAlignment="1">
      <alignment horizontal="center" vertical="center" wrapText="1"/>
    </xf>
    <xf numFmtId="0" fontId="6" fillId="7" borderId="14" xfId="0" applyFont="1" applyFill="1" applyBorder="1" applyAlignment="1">
      <alignment horizontal="center" vertical="center" wrapText="1"/>
    </xf>
    <xf numFmtId="4" fontId="6" fillId="7" borderId="10" xfId="0" applyNumberFormat="1" applyFont="1" applyFill="1" applyBorder="1" applyAlignment="1">
      <alignment horizontal="center" vertical="center" wrapText="1"/>
    </xf>
    <xf numFmtId="4" fontId="6" fillId="7" borderId="11" xfId="0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4" fillId="7" borderId="13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right" vertical="center"/>
    </xf>
    <xf numFmtId="0" fontId="18" fillId="2" borderId="5" xfId="0" applyFont="1" applyFill="1" applyBorder="1" applyAlignment="1">
      <alignment horizontal="right" vertical="center"/>
    </xf>
    <xf numFmtId="0" fontId="6" fillId="7" borderId="13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 wrapText="1"/>
    </xf>
    <xf numFmtId="0" fontId="7" fillId="7" borderId="13" xfId="1" applyFont="1" applyFill="1" applyBorder="1" applyAlignment="1">
      <alignment horizontal="center" vertical="center" wrapText="1"/>
    </xf>
    <xf numFmtId="3" fontId="7" fillId="7" borderId="12" xfId="1" applyNumberFormat="1" applyFont="1" applyFill="1" applyBorder="1" applyAlignment="1">
      <alignment horizontal="center" vertical="center"/>
    </xf>
    <xf numFmtId="3" fontId="7" fillId="7" borderId="5" xfId="1" applyNumberFormat="1" applyFont="1" applyFill="1" applyBorder="1" applyAlignment="1">
      <alignment horizontal="center" vertical="center"/>
    </xf>
    <xf numFmtId="0" fontId="6" fillId="7" borderId="14" xfId="1" applyFont="1" applyFill="1" applyBorder="1" applyAlignment="1">
      <alignment horizontal="center" vertical="center" wrapText="1"/>
    </xf>
    <xf numFmtId="49" fontId="6" fillId="7" borderId="13" xfId="0" applyNumberFormat="1" applyFont="1" applyFill="1" applyBorder="1" applyAlignment="1">
      <alignment horizontal="center" vertical="center" wrapText="1"/>
    </xf>
    <xf numFmtId="165" fontId="6" fillId="4" borderId="10" xfId="1" applyNumberFormat="1" applyFont="1" applyFill="1" applyBorder="1" applyAlignment="1">
      <alignment horizontal="center" vertical="center" wrapText="1"/>
    </xf>
    <xf numFmtId="165" fontId="6" fillId="4" borderId="30" xfId="1" applyNumberFormat="1" applyFont="1" applyFill="1" applyBorder="1" applyAlignment="1">
      <alignment horizontal="center" vertical="center" wrapText="1"/>
    </xf>
    <xf numFmtId="4" fontId="6" fillId="5" borderId="2" xfId="0" applyNumberFormat="1" applyFont="1" applyFill="1" applyBorder="1" applyAlignment="1">
      <alignment horizontal="center" vertical="center" wrapText="1"/>
    </xf>
    <xf numFmtId="4" fontId="6" fillId="5" borderId="13" xfId="0" applyNumberFormat="1" applyFont="1" applyFill="1" applyBorder="1" applyAlignment="1">
      <alignment horizontal="center" vertical="center" wrapText="1"/>
    </xf>
    <xf numFmtId="4" fontId="6" fillId="11" borderId="12" xfId="0" applyNumberFormat="1" applyFont="1" applyFill="1" applyBorder="1" applyAlignment="1">
      <alignment horizontal="center" vertical="center" wrapText="1"/>
    </xf>
    <xf numFmtId="4" fontId="6" fillId="11" borderId="5" xfId="0" applyNumberFormat="1" applyFont="1" applyFill="1" applyBorder="1" applyAlignment="1">
      <alignment horizontal="center" vertical="center" wrapText="1"/>
    </xf>
    <xf numFmtId="4" fontId="6" fillId="11" borderId="6" xfId="0" applyNumberFormat="1" applyFont="1" applyFill="1" applyBorder="1" applyAlignment="1">
      <alignment horizontal="center" vertical="center" wrapText="1"/>
    </xf>
    <xf numFmtId="4" fontId="6" fillId="10" borderId="5" xfId="0" applyNumberFormat="1" applyFont="1" applyFill="1" applyBorder="1" applyAlignment="1">
      <alignment horizontal="center" vertical="center" wrapText="1"/>
    </xf>
    <xf numFmtId="4" fontId="6" fillId="10" borderId="6" xfId="0" applyNumberFormat="1" applyFont="1" applyFill="1" applyBorder="1" applyAlignment="1">
      <alignment horizontal="center" vertical="center" wrapText="1"/>
    </xf>
    <xf numFmtId="4" fontId="6" fillId="7" borderId="3" xfId="0" applyNumberFormat="1" applyFont="1" applyFill="1" applyBorder="1" applyAlignment="1">
      <alignment horizontal="center" vertical="center" wrapText="1"/>
    </xf>
    <xf numFmtId="4" fontId="6" fillId="7" borderId="14" xfId="0" applyNumberFormat="1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/>
    </xf>
    <xf numFmtId="3" fontId="6" fillId="0" borderId="6" xfId="0" applyNumberFormat="1" applyFont="1" applyFill="1" applyBorder="1" applyAlignment="1">
      <alignment horizontal="center"/>
    </xf>
    <xf numFmtId="3" fontId="6" fillId="0" borderId="13" xfId="0" applyNumberFormat="1" applyFont="1" applyBorder="1" applyAlignment="1">
      <alignment horizontal="right" vertical="center"/>
    </xf>
    <xf numFmtId="3" fontId="6" fillId="0" borderId="2" xfId="0" applyNumberFormat="1" applyFont="1" applyBorder="1" applyAlignment="1">
      <alignment horizontal="right" vertical="center"/>
    </xf>
    <xf numFmtId="3" fontId="20" fillId="0" borderId="25" xfId="0" applyNumberFormat="1" applyFont="1" applyFill="1" applyBorder="1" applyAlignment="1">
      <alignment vertical="center"/>
    </xf>
    <xf numFmtId="3" fontId="31" fillId="0" borderId="14" xfId="0" applyNumberFormat="1" applyFont="1" applyFill="1" applyBorder="1"/>
    <xf numFmtId="0" fontId="7" fillId="0" borderId="0" xfId="0" applyFont="1" applyAlignment="1">
      <alignment horizontal="center" vertical="center" wrapText="1"/>
    </xf>
    <xf numFmtId="3" fontId="6" fillId="4" borderId="15" xfId="0" applyNumberFormat="1" applyFont="1" applyFill="1" applyBorder="1" applyAlignment="1">
      <alignment horizontal="right" vertical="center"/>
    </xf>
    <xf numFmtId="49" fontId="6" fillId="3" borderId="2" xfId="0" applyNumberFormat="1" applyFont="1" applyFill="1" applyBorder="1" applyAlignment="1">
      <alignment horizontal="center" vertical="center" wrapText="1" shrinkToFit="1"/>
    </xf>
    <xf numFmtId="3" fontId="4" fillId="3" borderId="8" xfId="0" applyNumberFormat="1" applyFont="1" applyFill="1" applyBorder="1" applyAlignment="1">
      <alignment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43" fillId="2" borderId="5" xfId="0" applyFont="1" applyFill="1" applyBorder="1" applyAlignment="1">
      <alignment vertical="center"/>
    </xf>
    <xf numFmtId="3" fontId="6" fillId="10" borderId="2" xfId="0" applyNumberFormat="1" applyFont="1" applyFill="1" applyBorder="1" applyAlignment="1">
      <alignment vertical="center" wrapText="1"/>
    </xf>
    <xf numFmtId="3" fontId="6" fillId="10" borderId="13" xfId="0" applyNumberFormat="1" applyFont="1" applyFill="1" applyBorder="1" applyAlignment="1">
      <alignment vertical="center" wrapText="1"/>
    </xf>
    <xf numFmtId="3" fontId="6" fillId="10" borderId="23" xfId="0" applyNumberFormat="1" applyFont="1" applyFill="1" applyBorder="1" applyAlignment="1">
      <alignment vertical="center" wrapText="1"/>
    </xf>
    <xf numFmtId="3" fontId="6" fillId="3" borderId="2" xfId="0" applyNumberFormat="1" applyFont="1" applyFill="1" applyBorder="1" applyAlignment="1">
      <alignment vertical="center" wrapText="1"/>
    </xf>
    <xf numFmtId="3" fontId="6" fillId="3" borderId="13" xfId="0" applyNumberFormat="1" applyFont="1" applyFill="1" applyBorder="1" applyAlignment="1">
      <alignment vertical="center" wrapText="1"/>
    </xf>
    <xf numFmtId="3" fontId="20" fillId="10" borderId="18" xfId="0" applyNumberFormat="1" applyFont="1" applyFill="1" applyBorder="1" applyAlignment="1">
      <alignment vertical="center" wrapText="1"/>
    </xf>
    <xf numFmtId="3" fontId="11" fillId="10" borderId="23" xfId="0" applyNumberFormat="1" applyFont="1" applyFill="1" applyBorder="1" applyAlignment="1">
      <alignment vertical="center" wrapText="1"/>
    </xf>
    <xf numFmtId="3" fontId="11" fillId="10" borderId="13" xfId="0" applyNumberFormat="1" applyFont="1" applyFill="1" applyBorder="1" applyAlignment="1">
      <alignment vertical="center" wrapText="1"/>
    </xf>
    <xf numFmtId="3" fontId="20" fillId="10" borderId="23" xfId="0" applyNumberFormat="1" applyFont="1" applyFill="1" applyBorder="1" applyAlignment="1">
      <alignment vertical="center" wrapText="1"/>
    </xf>
    <xf numFmtId="3" fontId="11" fillId="10" borderId="26" xfId="0" applyNumberFormat="1" applyFont="1" applyFill="1" applyBorder="1" applyAlignment="1">
      <alignment vertical="center" wrapText="1"/>
    </xf>
    <xf numFmtId="3" fontId="6" fillId="10" borderId="18" xfId="0" applyNumberFormat="1" applyFont="1" applyFill="1" applyBorder="1" applyAlignment="1">
      <alignment vertical="center" wrapText="1"/>
    </xf>
    <xf numFmtId="3" fontId="6" fillId="3" borderId="14" xfId="0" applyNumberFormat="1" applyFont="1" applyFill="1" applyBorder="1" applyAlignment="1">
      <alignment vertical="center" wrapText="1"/>
    </xf>
    <xf numFmtId="3" fontId="6" fillId="6" borderId="22" xfId="0" applyNumberFormat="1" applyFont="1" applyFill="1" applyBorder="1" applyAlignment="1">
      <alignment vertical="center" wrapText="1"/>
    </xf>
    <xf numFmtId="3" fontId="9" fillId="3" borderId="23" xfId="0" applyNumberFormat="1" applyFont="1" applyFill="1" applyBorder="1" applyAlignment="1">
      <alignment vertical="center" wrapText="1"/>
    </xf>
    <xf numFmtId="3" fontId="14" fillId="3" borderId="23" xfId="0" applyNumberFormat="1" applyFont="1" applyFill="1" applyBorder="1" applyAlignment="1">
      <alignment vertical="center" wrapText="1"/>
    </xf>
    <xf numFmtId="3" fontId="14" fillId="10" borderId="23" xfId="0" applyNumberFormat="1" applyFont="1" applyFill="1" applyBorder="1" applyAlignment="1">
      <alignment vertical="center" wrapText="1"/>
    </xf>
    <xf numFmtId="3" fontId="9" fillId="10" borderId="23" xfId="0" applyNumberFormat="1" applyFont="1" applyFill="1" applyBorder="1" applyAlignment="1">
      <alignment vertical="center" wrapText="1"/>
    </xf>
    <xf numFmtId="3" fontId="20" fillId="10" borderId="26" xfId="0" applyNumberFormat="1" applyFont="1" applyFill="1" applyBorder="1" applyAlignment="1">
      <alignment vertical="center" wrapText="1"/>
    </xf>
    <xf numFmtId="3" fontId="11" fillId="10" borderId="32" xfId="1" applyNumberFormat="1" applyFont="1" applyFill="1" applyBorder="1" applyAlignment="1">
      <alignment vertical="center" wrapText="1"/>
    </xf>
    <xf numFmtId="3" fontId="6" fillId="10" borderId="14" xfId="0" applyNumberFormat="1" applyFont="1" applyFill="1" applyBorder="1" applyAlignment="1">
      <alignment vertical="center" wrapText="1"/>
    </xf>
    <xf numFmtId="3" fontId="6" fillId="6" borderId="33" xfId="0" applyNumberFormat="1" applyFont="1" applyFill="1" applyBorder="1" applyAlignment="1">
      <alignment vertical="center" wrapText="1"/>
    </xf>
    <xf numFmtId="3" fontId="20" fillId="3" borderId="23" xfId="0" applyNumberFormat="1" applyFont="1" applyFill="1" applyBorder="1" applyAlignment="1">
      <alignment vertical="center" wrapText="1"/>
    </xf>
    <xf numFmtId="3" fontId="6" fillId="3" borderId="32" xfId="0" applyNumberFormat="1" applyFont="1" applyFill="1" applyBorder="1" applyAlignment="1">
      <alignment vertical="center"/>
    </xf>
    <xf numFmtId="3" fontId="20" fillId="10" borderId="23" xfId="0" applyNumberFormat="1" applyFont="1" applyFill="1" applyBorder="1" applyAlignment="1">
      <alignment horizontal="right" vertical="center"/>
    </xf>
    <xf numFmtId="3" fontId="20" fillId="10" borderId="13" xfId="0" applyNumberFormat="1" applyFont="1" applyFill="1" applyBorder="1" applyAlignment="1">
      <alignment vertical="center" wrapText="1"/>
    </xf>
    <xf numFmtId="3" fontId="6" fillId="3" borderId="18" xfId="0" applyNumberFormat="1" applyFont="1" applyFill="1" applyBorder="1" applyAlignment="1">
      <alignment vertical="center" wrapText="1"/>
    </xf>
    <xf numFmtId="3" fontId="22" fillId="3" borderId="23" xfId="0" applyNumberFormat="1" applyFont="1" applyFill="1" applyBorder="1" applyAlignment="1">
      <alignment vertical="center" wrapText="1"/>
    </xf>
    <xf numFmtId="3" fontId="6" fillId="0" borderId="0" xfId="0" applyNumberFormat="1" applyFont="1" applyAlignment="1">
      <alignment horizontal="right" vertical="center"/>
    </xf>
    <xf numFmtId="4" fontId="6" fillId="0" borderId="0" xfId="0" applyNumberFormat="1" applyFont="1" applyAlignment="1">
      <alignment horizontal="right" vertical="center"/>
    </xf>
    <xf numFmtId="3" fontId="6" fillId="10" borderId="24" xfId="0" applyNumberFormat="1" applyFont="1" applyFill="1" applyBorder="1" applyAlignment="1">
      <alignment vertical="center" wrapText="1"/>
    </xf>
    <xf numFmtId="3" fontId="6" fillId="10" borderId="9" xfId="0" applyNumberFormat="1" applyFont="1" applyFill="1" applyBorder="1" applyAlignment="1">
      <alignment vertical="center" wrapText="1"/>
    </xf>
    <xf numFmtId="3" fontId="6" fillId="10" borderId="32" xfId="0" applyNumberFormat="1" applyFont="1" applyFill="1" applyBorder="1" applyAlignment="1">
      <alignment horizontal="right" vertical="center"/>
    </xf>
    <xf numFmtId="3" fontId="6" fillId="10" borderId="44" xfId="0" applyNumberFormat="1" applyFont="1" applyFill="1" applyBorder="1" applyAlignment="1">
      <alignment horizontal="right" vertical="center"/>
    </xf>
    <xf numFmtId="3" fontId="6" fillId="10" borderId="44" xfId="0" applyNumberFormat="1" applyFont="1" applyFill="1" applyBorder="1" applyAlignment="1">
      <alignment vertical="center" wrapText="1"/>
    </xf>
    <xf numFmtId="3" fontId="6" fillId="10" borderId="32" xfId="0" applyNumberFormat="1" applyFont="1" applyFill="1" applyBorder="1" applyAlignment="1">
      <alignment vertical="center" wrapText="1"/>
    </xf>
    <xf numFmtId="3" fontId="20" fillId="10" borderId="6" xfId="0" applyNumberFormat="1" applyFont="1" applyFill="1" applyBorder="1" applyAlignment="1">
      <alignment vertical="center" wrapText="1"/>
    </xf>
    <xf numFmtId="3" fontId="11" fillId="10" borderId="32" xfId="0" applyNumberFormat="1" applyFont="1" applyFill="1" applyBorder="1" applyAlignment="1">
      <alignment vertical="center" wrapText="1"/>
    </xf>
    <xf numFmtId="3" fontId="6" fillId="3" borderId="0" xfId="0" applyNumberFormat="1" applyFont="1" applyFill="1" applyAlignment="1">
      <alignment vertical="center" wrapText="1"/>
    </xf>
    <xf numFmtId="3" fontId="6" fillId="3" borderId="35" xfId="0" applyNumberFormat="1" applyFont="1" applyFill="1" applyBorder="1" applyAlignment="1">
      <alignment vertical="center" wrapText="1"/>
    </xf>
    <xf numFmtId="3" fontId="6" fillId="3" borderId="39" xfId="0" applyNumberFormat="1" applyFont="1" applyFill="1" applyBorder="1" applyAlignment="1">
      <alignment vertical="center" wrapText="1"/>
    </xf>
    <xf numFmtId="3" fontId="11" fillId="10" borderId="44" xfId="0" applyNumberFormat="1" applyFont="1" applyFill="1" applyBorder="1" applyAlignment="1">
      <alignment vertical="center" wrapText="1"/>
    </xf>
    <xf numFmtId="3" fontId="11" fillId="4" borderId="19" xfId="0" applyNumberFormat="1" applyFont="1" applyFill="1" applyBorder="1" applyAlignment="1">
      <alignment vertical="center" wrapText="1"/>
    </xf>
    <xf numFmtId="3" fontId="11" fillId="4" borderId="27" xfId="0" applyNumberFormat="1" applyFont="1" applyFill="1" applyBorder="1" applyAlignment="1">
      <alignment vertical="center" wrapText="1"/>
    </xf>
    <xf numFmtId="3" fontId="11" fillId="10" borderId="24" xfId="0" applyNumberFormat="1" applyFont="1" applyFill="1" applyBorder="1" applyAlignment="1">
      <alignment vertical="center" wrapText="1"/>
    </xf>
    <xf numFmtId="3" fontId="20" fillId="10" borderId="32" xfId="0" applyNumberFormat="1" applyFont="1" applyFill="1" applyBorder="1" applyAlignment="1">
      <alignment vertical="center" wrapText="1"/>
    </xf>
    <xf numFmtId="3" fontId="6" fillId="10" borderId="6" xfId="0" applyNumberFormat="1" applyFont="1" applyFill="1" applyBorder="1" applyAlignment="1">
      <alignment vertical="center" wrapText="1"/>
    </xf>
    <xf numFmtId="3" fontId="6" fillId="4" borderId="5" xfId="0" applyNumberFormat="1" applyFont="1" applyFill="1" applyBorder="1" applyAlignment="1">
      <alignment vertical="center" wrapText="1"/>
    </xf>
    <xf numFmtId="3" fontId="6" fillId="6" borderId="29" xfId="0" applyNumberFormat="1" applyFont="1" applyFill="1" applyBorder="1" applyAlignment="1">
      <alignment vertical="center" wrapText="1"/>
    </xf>
    <xf numFmtId="3" fontId="6" fillId="6" borderId="0" xfId="0" applyNumberFormat="1" applyFont="1" applyFill="1" applyAlignment="1">
      <alignment vertical="center" wrapText="1"/>
    </xf>
    <xf numFmtId="3" fontId="6" fillId="6" borderId="32" xfId="0" applyNumberFormat="1" applyFont="1" applyFill="1" applyBorder="1" applyAlignment="1">
      <alignment vertical="center" wrapText="1"/>
    </xf>
    <xf numFmtId="3" fontId="6" fillId="3" borderId="4" xfId="0" applyNumberFormat="1" applyFont="1" applyFill="1" applyBorder="1" applyAlignment="1">
      <alignment vertical="center" wrapText="1"/>
    </xf>
    <xf numFmtId="3" fontId="6" fillId="10" borderId="35" xfId="0" applyNumberFormat="1" applyFont="1" applyFill="1" applyBorder="1" applyAlignment="1">
      <alignment vertical="center" wrapText="1"/>
    </xf>
    <xf numFmtId="3" fontId="6" fillId="4" borderId="34" xfId="0" applyNumberFormat="1" applyFont="1" applyFill="1" applyBorder="1" applyAlignment="1">
      <alignment vertical="center" wrapText="1"/>
    </xf>
    <xf numFmtId="3" fontId="11" fillId="10" borderId="35" xfId="0" applyNumberFormat="1" applyFont="1" applyFill="1" applyBorder="1" applyAlignment="1">
      <alignment vertical="center" wrapText="1"/>
    </xf>
    <xf numFmtId="3" fontId="11" fillId="4" borderId="34" xfId="0" applyNumberFormat="1" applyFont="1" applyFill="1" applyBorder="1" applyAlignment="1">
      <alignment vertical="center" wrapText="1"/>
    </xf>
    <xf numFmtId="3" fontId="6" fillId="3" borderId="34" xfId="0" applyNumberFormat="1" applyFont="1" applyFill="1" applyBorder="1" applyAlignment="1">
      <alignment vertical="center" wrapText="1"/>
    </xf>
    <xf numFmtId="3" fontId="9" fillId="3" borderId="35" xfId="0" applyNumberFormat="1" applyFont="1" applyFill="1" applyBorder="1" applyAlignment="1">
      <alignment vertical="center" wrapText="1"/>
    </xf>
    <xf numFmtId="3" fontId="9" fillId="3" borderId="34" xfId="0" applyNumberFormat="1" applyFont="1" applyFill="1" applyBorder="1" applyAlignment="1">
      <alignment vertical="center" wrapText="1"/>
    </xf>
    <xf numFmtId="3" fontId="20" fillId="10" borderId="35" xfId="0" applyNumberFormat="1" applyFont="1" applyFill="1" applyBorder="1" applyAlignment="1">
      <alignment vertical="center" wrapText="1"/>
    </xf>
    <xf numFmtId="3" fontId="20" fillId="4" borderId="34" xfId="0" applyNumberFormat="1" applyFont="1" applyFill="1" applyBorder="1" applyAlignment="1">
      <alignment vertical="center" wrapText="1"/>
    </xf>
    <xf numFmtId="3" fontId="14" fillId="3" borderId="35" xfId="0" applyNumberFormat="1" applyFont="1" applyFill="1" applyBorder="1" applyAlignment="1">
      <alignment vertical="center" wrapText="1"/>
    </xf>
    <xf numFmtId="3" fontId="14" fillId="3" borderId="33" xfId="0" applyNumberFormat="1" applyFont="1" applyFill="1" applyBorder="1" applyAlignment="1">
      <alignment vertical="center" wrapText="1"/>
    </xf>
    <xf numFmtId="3" fontId="14" fillId="3" borderId="34" xfId="0" applyNumberFormat="1" applyFont="1" applyFill="1" applyBorder="1" applyAlignment="1">
      <alignment vertical="center" wrapText="1"/>
    </xf>
    <xf numFmtId="3" fontId="20" fillId="10" borderId="24" xfId="0" applyNumberFormat="1" applyFont="1" applyFill="1" applyBorder="1" applyAlignment="1">
      <alignment vertical="center" wrapText="1"/>
    </xf>
    <xf numFmtId="3" fontId="20" fillId="4" borderId="23" xfId="0" applyNumberFormat="1" applyFont="1" applyFill="1" applyBorder="1" applyAlignment="1">
      <alignment vertical="center" wrapText="1"/>
    </xf>
    <xf numFmtId="3" fontId="14" fillId="10" borderId="35" xfId="0" applyNumberFormat="1" applyFont="1" applyFill="1" applyBorder="1" applyAlignment="1">
      <alignment vertical="center" wrapText="1"/>
    </xf>
    <xf numFmtId="3" fontId="14" fillId="4" borderId="34" xfId="0" applyNumberFormat="1" applyFont="1" applyFill="1" applyBorder="1" applyAlignment="1">
      <alignment vertical="center" wrapText="1"/>
    </xf>
    <xf numFmtId="3" fontId="9" fillId="10" borderId="35" xfId="0" applyNumberFormat="1" applyFont="1" applyFill="1" applyBorder="1" applyAlignment="1">
      <alignment vertical="center" wrapText="1"/>
    </xf>
    <xf numFmtId="3" fontId="9" fillId="4" borderId="34" xfId="0" applyNumberFormat="1" applyFont="1" applyFill="1" applyBorder="1" applyAlignment="1">
      <alignment vertical="center" wrapText="1"/>
    </xf>
    <xf numFmtId="3" fontId="9" fillId="3" borderId="24" xfId="0" applyNumberFormat="1" applyFont="1" applyFill="1" applyBorder="1" applyAlignment="1">
      <alignment vertical="center" wrapText="1"/>
    </xf>
    <xf numFmtId="3" fontId="9" fillId="3" borderId="31" xfId="0" applyNumberFormat="1" applyFont="1" applyFill="1" applyBorder="1" applyAlignment="1">
      <alignment vertical="center" wrapText="1"/>
    </xf>
    <xf numFmtId="3" fontId="6" fillId="4" borderId="4" xfId="0" applyNumberFormat="1" applyFont="1" applyFill="1" applyBorder="1" applyAlignment="1">
      <alignment vertical="center" wrapText="1"/>
    </xf>
    <xf numFmtId="3" fontId="9" fillId="10" borderId="32" xfId="0" applyNumberFormat="1" applyFont="1" applyFill="1" applyBorder="1" applyAlignment="1">
      <alignment vertical="center" wrapText="1"/>
    </xf>
    <xf numFmtId="3" fontId="9" fillId="4" borderId="31" xfId="0" applyNumberFormat="1" applyFont="1" applyFill="1" applyBorder="1" applyAlignment="1">
      <alignment vertical="center" wrapText="1"/>
    </xf>
    <xf numFmtId="3" fontId="6" fillId="3" borderId="25" xfId="0" applyNumberFormat="1" applyFont="1" applyFill="1" applyBorder="1" applyAlignment="1">
      <alignment vertical="center" wrapText="1"/>
    </xf>
    <xf numFmtId="3" fontId="6" fillId="3" borderId="15" xfId="0" applyNumberFormat="1" applyFont="1" applyFill="1" applyBorder="1" applyAlignment="1">
      <alignment vertical="center" wrapText="1"/>
    </xf>
    <xf numFmtId="3" fontId="6" fillId="3" borderId="24" xfId="0" applyNumberFormat="1" applyFont="1" applyFill="1" applyBorder="1" applyAlignment="1">
      <alignment vertical="center" wrapText="1"/>
    </xf>
    <xf numFmtId="3" fontId="11" fillId="10" borderId="16" xfId="0" applyNumberFormat="1" applyFont="1" applyFill="1" applyBorder="1" applyAlignment="1">
      <alignment vertical="center" wrapText="1"/>
    </xf>
    <xf numFmtId="3" fontId="11" fillId="4" borderId="30" xfId="0" applyNumberFormat="1" applyFont="1" applyFill="1" applyBorder="1" applyAlignment="1">
      <alignment vertical="center" wrapText="1"/>
    </xf>
    <xf numFmtId="3" fontId="6" fillId="10" borderId="9" xfId="1" applyNumberFormat="1" applyFont="1" applyFill="1" applyBorder="1" applyAlignment="1">
      <alignment vertical="center" wrapText="1"/>
    </xf>
    <xf numFmtId="3" fontId="6" fillId="4" borderId="8" xfId="1" applyNumberFormat="1" applyFont="1" applyFill="1" applyBorder="1" applyAlignment="1">
      <alignment vertical="center" wrapText="1"/>
    </xf>
    <xf numFmtId="3" fontId="6" fillId="10" borderId="32" xfId="1" applyNumberFormat="1" applyFont="1" applyFill="1" applyBorder="1" applyAlignment="1">
      <alignment vertical="center" wrapText="1"/>
    </xf>
    <xf numFmtId="3" fontId="20" fillId="10" borderId="32" xfId="1" applyNumberFormat="1" applyFont="1" applyFill="1" applyBorder="1" applyAlignment="1">
      <alignment vertical="center" wrapText="1"/>
    </xf>
    <xf numFmtId="3" fontId="20" fillId="4" borderId="37" xfId="1" applyNumberFormat="1" applyFont="1" applyFill="1" applyBorder="1" applyAlignment="1">
      <alignment vertical="center" wrapText="1"/>
    </xf>
    <xf numFmtId="3" fontId="11" fillId="4" borderId="26" xfId="1" applyNumberFormat="1" applyFont="1" applyFill="1" applyBorder="1" applyAlignment="1">
      <alignment vertical="center" wrapText="1"/>
    </xf>
    <xf numFmtId="3" fontId="9" fillId="10" borderId="32" xfId="1" applyNumberFormat="1" applyFont="1" applyFill="1" applyBorder="1" applyAlignment="1">
      <alignment vertical="center" wrapText="1"/>
    </xf>
    <xf numFmtId="3" fontId="9" fillId="4" borderId="37" xfId="1" applyNumberFormat="1" applyFont="1" applyFill="1" applyBorder="1" applyAlignment="1">
      <alignment vertical="center" wrapText="1"/>
    </xf>
    <xf numFmtId="3" fontId="14" fillId="10" borderId="32" xfId="1" applyNumberFormat="1" applyFont="1" applyFill="1" applyBorder="1" applyAlignment="1">
      <alignment vertical="center" wrapText="1"/>
    </xf>
    <xf numFmtId="3" fontId="14" fillId="4" borderId="37" xfId="1" applyNumberFormat="1" applyFont="1" applyFill="1" applyBorder="1" applyAlignment="1">
      <alignment vertical="center" wrapText="1"/>
    </xf>
    <xf numFmtId="3" fontId="6" fillId="6" borderId="24" xfId="0" applyNumberFormat="1" applyFont="1" applyFill="1" applyBorder="1" applyAlignment="1">
      <alignment vertical="center" wrapText="1"/>
    </xf>
    <xf numFmtId="3" fontId="9" fillId="10" borderId="24" xfId="0" applyNumberFormat="1" applyFont="1" applyFill="1" applyBorder="1" applyAlignment="1">
      <alignment vertical="center" wrapText="1"/>
    </xf>
    <xf numFmtId="3" fontId="9" fillId="4" borderId="25" xfId="0" applyNumberFormat="1" applyFont="1" applyFill="1" applyBorder="1" applyAlignment="1">
      <alignment vertical="center" wrapText="1"/>
    </xf>
    <xf numFmtId="3" fontId="11" fillId="4" borderId="25" xfId="0" applyNumberFormat="1" applyFont="1" applyFill="1" applyBorder="1" applyAlignment="1">
      <alignment vertical="center" wrapText="1"/>
    </xf>
    <xf numFmtId="3" fontId="6" fillId="10" borderId="32" xfId="0" applyNumberFormat="1" applyFont="1" applyFill="1" applyBorder="1" applyAlignment="1">
      <alignment vertical="center"/>
    </xf>
    <xf numFmtId="3" fontId="6" fillId="4" borderId="31" xfId="0" applyNumberFormat="1" applyFont="1" applyFill="1" applyBorder="1" applyAlignment="1">
      <alignment vertical="center"/>
    </xf>
    <xf numFmtId="3" fontId="11" fillId="10" borderId="32" xfId="0" applyNumberFormat="1" applyFont="1" applyFill="1" applyBorder="1" applyAlignment="1">
      <alignment vertical="center"/>
    </xf>
    <xf numFmtId="3" fontId="20" fillId="4" borderId="31" xfId="0" applyNumberFormat="1" applyFont="1" applyFill="1" applyBorder="1" applyAlignment="1">
      <alignment horizontal="right" vertical="center"/>
    </xf>
    <xf numFmtId="3" fontId="6" fillId="3" borderId="31" xfId="0" applyNumberFormat="1" applyFont="1" applyFill="1" applyBorder="1" applyAlignment="1">
      <alignment vertical="center"/>
    </xf>
    <xf numFmtId="3" fontId="20" fillId="10" borderId="24" xfId="0" applyNumberFormat="1" applyFont="1" applyFill="1" applyBorder="1" applyAlignment="1">
      <alignment horizontal="right" vertical="center"/>
    </xf>
    <xf numFmtId="3" fontId="9" fillId="3" borderId="32" xfId="0" applyNumberFormat="1" applyFont="1" applyFill="1" applyBorder="1" applyAlignment="1">
      <alignment vertical="center"/>
    </xf>
    <xf numFmtId="3" fontId="9" fillId="3" borderId="31" xfId="0" applyNumberFormat="1" applyFont="1" applyFill="1" applyBorder="1" applyAlignment="1">
      <alignment vertical="center"/>
    </xf>
    <xf numFmtId="3" fontId="20" fillId="3" borderId="32" xfId="0" applyNumberFormat="1" applyFont="1" applyFill="1" applyBorder="1" applyAlignment="1">
      <alignment vertical="center"/>
    </xf>
    <xf numFmtId="3" fontId="20" fillId="3" borderId="37" xfId="0" applyNumberFormat="1" applyFont="1" applyFill="1" applyBorder="1" applyAlignment="1">
      <alignment vertical="center"/>
    </xf>
    <xf numFmtId="3" fontId="6" fillId="3" borderId="46" xfId="0" applyNumberFormat="1" applyFont="1" applyFill="1" applyBorder="1" applyAlignment="1">
      <alignment vertical="center"/>
    </xf>
    <xf numFmtId="3" fontId="14" fillId="4" borderId="31" xfId="0" applyNumberFormat="1" applyFont="1" applyFill="1" applyBorder="1" applyAlignment="1">
      <alignment horizontal="right" vertical="center"/>
    </xf>
    <xf numFmtId="3" fontId="6" fillId="10" borderId="29" xfId="0" applyNumberFormat="1" applyFont="1" applyFill="1" applyBorder="1" applyAlignment="1">
      <alignment vertical="center"/>
    </xf>
    <xf numFmtId="3" fontId="6" fillId="4" borderId="28" xfId="0" applyNumberFormat="1" applyFont="1" applyFill="1" applyBorder="1" applyAlignment="1">
      <alignment vertical="center"/>
    </xf>
    <xf numFmtId="3" fontId="6" fillId="4" borderId="15" xfId="0" applyNumberFormat="1" applyFont="1" applyFill="1" applyBorder="1" applyAlignment="1">
      <alignment vertical="center" wrapText="1"/>
    </xf>
    <xf numFmtId="3" fontId="6" fillId="10" borderId="9" xfId="0" applyNumberFormat="1" applyFont="1" applyFill="1" applyBorder="1" applyAlignment="1">
      <alignment horizontal="right" vertical="center"/>
    </xf>
    <xf numFmtId="3" fontId="6" fillId="4" borderId="4" xfId="0" applyNumberFormat="1" applyFont="1" applyFill="1" applyBorder="1" applyAlignment="1">
      <alignment horizontal="right" vertical="center"/>
    </xf>
    <xf numFmtId="3" fontId="11" fillId="10" borderId="24" xfId="0" applyNumberFormat="1" applyFont="1" applyFill="1" applyBorder="1" applyAlignment="1">
      <alignment horizontal="right" vertical="center"/>
    </xf>
    <xf numFmtId="3" fontId="6" fillId="3" borderId="32" xfId="0" applyNumberFormat="1" applyFont="1" applyFill="1" applyBorder="1" applyAlignment="1">
      <alignment horizontal="right" vertical="center"/>
    </xf>
    <xf numFmtId="3" fontId="6" fillId="3" borderId="31" xfId="0" applyNumberFormat="1" applyFont="1" applyFill="1" applyBorder="1" applyAlignment="1">
      <alignment horizontal="right" vertical="center"/>
    </xf>
    <xf numFmtId="3" fontId="20" fillId="10" borderId="32" xfId="0" applyNumberFormat="1" applyFont="1" applyFill="1" applyBorder="1" applyAlignment="1">
      <alignment horizontal="right" vertical="center"/>
    </xf>
    <xf numFmtId="3" fontId="6" fillId="3" borderId="24" xfId="0" applyNumberFormat="1" applyFont="1" applyFill="1" applyBorder="1" applyAlignment="1">
      <alignment horizontal="right" vertical="center"/>
    </xf>
    <xf numFmtId="3" fontId="6" fillId="3" borderId="25" xfId="0" applyNumberFormat="1" applyFont="1" applyFill="1" applyBorder="1" applyAlignment="1">
      <alignment horizontal="right" vertical="center"/>
    </xf>
    <xf numFmtId="3" fontId="11" fillId="4" borderId="31" xfId="0" applyNumberFormat="1" applyFont="1" applyFill="1" applyBorder="1" applyAlignment="1">
      <alignment horizontal="right" vertical="center"/>
    </xf>
    <xf numFmtId="3" fontId="6" fillId="10" borderId="24" xfId="0" applyNumberFormat="1" applyFont="1" applyFill="1" applyBorder="1" applyAlignment="1">
      <alignment horizontal="right" vertical="center"/>
    </xf>
    <xf numFmtId="3" fontId="6" fillId="4" borderId="25" xfId="0" applyNumberFormat="1" applyFont="1" applyFill="1" applyBorder="1" applyAlignment="1">
      <alignment horizontal="right" vertical="center"/>
    </xf>
    <xf numFmtId="3" fontId="20" fillId="4" borderId="25" xfId="0" applyNumberFormat="1" applyFont="1" applyFill="1" applyBorder="1" applyAlignment="1">
      <alignment horizontal="right" vertical="center"/>
    </xf>
    <xf numFmtId="3" fontId="20" fillId="10" borderId="13" xfId="0" applyNumberFormat="1" applyFont="1" applyFill="1" applyBorder="1" applyAlignment="1">
      <alignment horizontal="right" vertical="center"/>
    </xf>
    <xf numFmtId="3" fontId="20" fillId="4" borderId="30" xfId="0" applyNumberFormat="1" applyFont="1" applyFill="1" applyBorder="1" applyAlignment="1">
      <alignment horizontal="right" vertical="center"/>
    </xf>
    <xf numFmtId="3" fontId="6" fillId="4" borderId="27" xfId="0" applyNumberFormat="1" applyFont="1" applyFill="1" applyBorder="1" applyAlignment="1">
      <alignment horizontal="right" vertical="center"/>
    </xf>
    <xf numFmtId="3" fontId="20" fillId="4" borderId="27" xfId="0" applyNumberFormat="1" applyFont="1" applyFill="1" applyBorder="1" applyAlignment="1">
      <alignment horizontal="right" vertical="center"/>
    </xf>
    <xf numFmtId="3" fontId="11" fillId="4" borderId="27" xfId="0" applyNumberFormat="1" applyFont="1" applyFill="1" applyBorder="1" applyAlignment="1">
      <alignment horizontal="right" vertical="center"/>
    </xf>
    <xf numFmtId="3" fontId="20" fillId="4" borderId="37" xfId="0" applyNumberFormat="1" applyFont="1" applyFill="1" applyBorder="1" applyAlignment="1">
      <alignment horizontal="right" vertical="center"/>
    </xf>
    <xf numFmtId="3" fontId="20" fillId="10" borderId="44" xfId="0" applyNumberFormat="1" applyFont="1" applyFill="1" applyBorder="1" applyAlignment="1">
      <alignment vertical="center" wrapText="1"/>
    </xf>
    <xf numFmtId="3" fontId="20" fillId="4" borderId="19" xfId="0" applyNumberFormat="1" applyFont="1" applyFill="1" applyBorder="1" applyAlignment="1">
      <alignment horizontal="right" vertical="center"/>
    </xf>
    <xf numFmtId="3" fontId="6" fillId="6" borderId="24" xfId="0" applyNumberFormat="1" applyFont="1" applyFill="1" applyBorder="1" applyAlignment="1">
      <alignment horizontal="right" vertical="center"/>
    </xf>
    <xf numFmtId="3" fontId="6" fillId="6" borderId="27" xfId="0" applyNumberFormat="1" applyFont="1" applyFill="1" applyBorder="1" applyAlignment="1">
      <alignment horizontal="right" vertical="center"/>
    </xf>
    <xf numFmtId="3" fontId="6" fillId="6" borderId="32" xfId="0" applyNumberFormat="1" applyFont="1" applyFill="1" applyBorder="1" applyAlignment="1">
      <alignment horizontal="right" vertical="center"/>
    </xf>
    <xf numFmtId="3" fontId="6" fillId="6" borderId="26" xfId="0" applyNumberFormat="1" applyFont="1" applyFill="1" applyBorder="1" applyAlignment="1">
      <alignment horizontal="right" vertical="center"/>
    </xf>
    <xf numFmtId="3" fontId="20" fillId="10" borderId="32" xfId="0" applyNumberFormat="1" applyFont="1" applyFill="1" applyBorder="1" applyAlignment="1">
      <alignment horizontal="right" vertical="center" wrapText="1"/>
    </xf>
    <xf numFmtId="3" fontId="20" fillId="4" borderId="37" xfId="0" applyNumberFormat="1" applyFont="1" applyFill="1" applyBorder="1" applyAlignment="1">
      <alignment horizontal="right" vertical="center" wrapText="1"/>
    </xf>
    <xf numFmtId="3" fontId="6" fillId="3" borderId="32" xfId="0" applyNumberFormat="1" applyFont="1" applyFill="1" applyBorder="1" applyAlignment="1">
      <alignment horizontal="right" vertical="center" wrapText="1"/>
    </xf>
    <xf numFmtId="3" fontId="6" fillId="3" borderId="37" xfId="0" applyNumberFormat="1" applyFont="1" applyFill="1" applyBorder="1" applyAlignment="1">
      <alignment horizontal="right" vertical="center" wrapText="1"/>
    </xf>
    <xf numFmtId="3" fontId="6" fillId="10" borderId="24" xfId="0" applyNumberFormat="1" applyFont="1" applyFill="1" applyBorder="1" applyAlignment="1">
      <alignment horizontal="right" vertical="center" wrapText="1"/>
    </xf>
    <xf numFmtId="3" fontId="6" fillId="4" borderId="27" xfId="0" applyNumberFormat="1" applyFont="1" applyFill="1" applyBorder="1" applyAlignment="1">
      <alignment horizontal="right" vertical="center" wrapText="1"/>
    </xf>
    <xf numFmtId="3" fontId="11" fillId="10" borderId="32" xfId="0" applyNumberFormat="1" applyFont="1" applyFill="1" applyBorder="1" applyAlignment="1">
      <alignment horizontal="right" vertical="center" wrapText="1"/>
    </xf>
    <xf numFmtId="3" fontId="11" fillId="4" borderId="37" xfId="0" applyNumberFormat="1" applyFont="1" applyFill="1" applyBorder="1" applyAlignment="1">
      <alignment horizontal="right" vertical="center" wrapText="1"/>
    </xf>
    <xf numFmtId="3" fontId="6" fillId="10" borderId="32" xfId="0" applyNumberFormat="1" applyFont="1" applyFill="1" applyBorder="1" applyAlignment="1">
      <alignment horizontal="right" vertical="center" wrapText="1"/>
    </xf>
    <xf numFmtId="3" fontId="6" fillId="4" borderId="37" xfId="0" applyNumberFormat="1" applyFont="1" applyFill="1" applyBorder="1" applyAlignment="1">
      <alignment horizontal="right" vertical="center" wrapText="1"/>
    </xf>
    <xf numFmtId="3" fontId="6" fillId="3" borderId="44" xfId="0" applyNumberFormat="1" applyFont="1" applyFill="1" applyBorder="1" applyAlignment="1">
      <alignment horizontal="right" vertical="center" wrapText="1"/>
    </xf>
    <xf numFmtId="3" fontId="6" fillId="3" borderId="19" xfId="0" applyNumberFormat="1" applyFont="1" applyFill="1" applyBorder="1" applyAlignment="1">
      <alignment horizontal="right" vertical="center" wrapText="1"/>
    </xf>
    <xf numFmtId="3" fontId="20" fillId="10" borderId="24" xfId="0" applyNumberFormat="1" applyFont="1" applyFill="1" applyBorder="1" applyAlignment="1">
      <alignment horizontal="right" vertical="center" wrapText="1"/>
    </xf>
    <xf numFmtId="3" fontId="20" fillId="4" borderId="27" xfId="0" applyNumberFormat="1" applyFont="1" applyFill="1" applyBorder="1" applyAlignment="1">
      <alignment horizontal="right" vertical="center" wrapText="1"/>
    </xf>
    <xf numFmtId="3" fontId="11" fillId="10" borderId="44" xfId="0" applyNumberFormat="1" applyFont="1" applyFill="1" applyBorder="1" applyAlignment="1">
      <alignment horizontal="right" vertical="center" wrapText="1"/>
    </xf>
    <xf numFmtId="3" fontId="11" fillId="4" borderId="19" xfId="0" applyNumberFormat="1" applyFont="1" applyFill="1" applyBorder="1" applyAlignment="1">
      <alignment horizontal="right" vertical="center" wrapText="1"/>
    </xf>
    <xf numFmtId="3" fontId="6" fillId="3" borderId="6" xfId="0" applyNumberFormat="1" applyFont="1" applyFill="1" applyBorder="1" applyAlignment="1">
      <alignment horizontal="right" vertical="center" wrapText="1"/>
    </xf>
    <xf numFmtId="3" fontId="6" fillId="3" borderId="5" xfId="0" applyNumberFormat="1" applyFont="1" applyFill="1" applyBorder="1" applyAlignment="1">
      <alignment horizontal="right" vertical="center" wrapText="1"/>
    </xf>
    <xf numFmtId="3" fontId="6" fillId="3" borderId="16" xfId="0" applyNumberFormat="1" applyFont="1" applyFill="1" applyBorder="1" applyAlignment="1">
      <alignment horizontal="right" vertical="center" wrapText="1"/>
    </xf>
    <xf numFmtId="3" fontId="6" fillId="3" borderId="1" xfId="0" applyNumberFormat="1" applyFont="1" applyFill="1" applyBorder="1" applyAlignment="1">
      <alignment horizontal="right" vertical="center" wrapText="1"/>
    </xf>
    <xf numFmtId="3" fontId="6" fillId="3" borderId="24" xfId="0" applyNumberFormat="1" applyFont="1" applyFill="1" applyBorder="1" applyAlignment="1">
      <alignment horizontal="right" vertical="center" wrapText="1"/>
    </xf>
    <xf numFmtId="3" fontId="6" fillId="3" borderId="27" xfId="0" applyNumberFormat="1" applyFont="1" applyFill="1" applyBorder="1" applyAlignment="1">
      <alignment horizontal="right" vertical="center" wrapText="1"/>
    </xf>
    <xf numFmtId="3" fontId="11" fillId="10" borderId="24" xfId="0" applyNumberFormat="1" applyFont="1" applyFill="1" applyBorder="1" applyAlignment="1">
      <alignment horizontal="right" vertical="center" wrapText="1"/>
    </xf>
    <xf numFmtId="3" fontId="11" fillId="4" borderId="27" xfId="0" applyNumberFormat="1" applyFont="1" applyFill="1" applyBorder="1" applyAlignment="1">
      <alignment horizontal="right" vertical="center" wrapText="1"/>
    </xf>
    <xf numFmtId="3" fontId="11" fillId="10" borderId="13" xfId="0" applyNumberFormat="1" applyFont="1" applyFill="1" applyBorder="1" applyAlignment="1">
      <alignment horizontal="right" vertical="center" wrapText="1"/>
    </xf>
    <xf numFmtId="3" fontId="6" fillId="4" borderId="39" xfId="0" applyNumberFormat="1" applyFont="1" applyFill="1" applyBorder="1" applyAlignment="1">
      <alignment vertical="center" wrapText="1"/>
    </xf>
    <xf numFmtId="3" fontId="20" fillId="4" borderId="27" xfId="0" applyNumberFormat="1" applyFont="1" applyFill="1" applyBorder="1" applyAlignment="1">
      <alignment vertical="center" wrapText="1"/>
    </xf>
    <xf numFmtId="3" fontId="6" fillId="10" borderId="24" xfId="0" applyNumberFormat="1" applyFont="1" applyFill="1" applyBorder="1" applyAlignment="1">
      <alignment vertical="center"/>
    </xf>
    <xf numFmtId="3" fontId="6" fillId="4" borderId="25" xfId="0" applyNumberFormat="1" applyFont="1" applyFill="1" applyBorder="1" applyAlignment="1">
      <alignment vertical="center"/>
    </xf>
    <xf numFmtId="3" fontId="6" fillId="3" borderId="27" xfId="0" applyNumberFormat="1" applyFont="1" applyFill="1" applyBorder="1" applyAlignment="1">
      <alignment vertical="center" wrapText="1"/>
    </xf>
    <xf numFmtId="3" fontId="11" fillId="10" borderId="24" xfId="0" applyNumberFormat="1" applyFont="1" applyFill="1" applyBorder="1" applyAlignment="1">
      <alignment vertical="center"/>
    </xf>
    <xf numFmtId="3" fontId="11" fillId="4" borderId="27" xfId="0" applyNumberFormat="1" applyFont="1" applyFill="1" applyBorder="1" applyAlignment="1">
      <alignment vertical="center"/>
    </xf>
    <xf numFmtId="3" fontId="6" fillId="4" borderId="27" xfId="0" applyNumberFormat="1" applyFont="1" applyFill="1" applyBorder="1" applyAlignment="1">
      <alignment vertical="center"/>
    </xf>
    <xf numFmtId="3" fontId="6" fillId="3" borderId="24" xfId="0" applyNumberFormat="1" applyFont="1" applyFill="1" applyBorder="1" applyAlignment="1">
      <alignment vertical="center"/>
    </xf>
    <xf numFmtId="3" fontId="6" fillId="3" borderId="27" xfId="0" applyNumberFormat="1" applyFont="1" applyFill="1" applyBorder="1" applyAlignment="1">
      <alignment vertical="center"/>
    </xf>
    <xf numFmtId="3" fontId="20" fillId="10" borderId="24" xfId="0" applyNumberFormat="1" applyFont="1" applyFill="1" applyBorder="1" applyAlignment="1">
      <alignment vertical="center"/>
    </xf>
    <xf numFmtId="3" fontId="20" fillId="4" borderId="27" xfId="0" applyNumberFormat="1" applyFont="1" applyFill="1" applyBorder="1" applyAlignment="1">
      <alignment vertical="center"/>
    </xf>
    <xf numFmtId="3" fontId="11" fillId="4" borderId="37" xfId="0" applyNumberFormat="1" applyFont="1" applyFill="1" applyBorder="1" applyAlignment="1">
      <alignment vertical="center"/>
    </xf>
    <xf numFmtId="3" fontId="6" fillId="4" borderId="37" xfId="0" applyNumberFormat="1" applyFont="1" applyFill="1" applyBorder="1" applyAlignment="1">
      <alignment vertical="center"/>
    </xf>
    <xf numFmtId="3" fontId="14" fillId="3" borderId="32" xfId="0" applyNumberFormat="1" applyFont="1" applyFill="1" applyBorder="1" applyAlignment="1">
      <alignment vertical="center"/>
    </xf>
    <xf numFmtId="3" fontId="14" fillId="3" borderId="37" xfId="0" applyNumberFormat="1" applyFont="1" applyFill="1" applyBorder="1" applyAlignment="1">
      <alignment vertical="center"/>
    </xf>
    <xf numFmtId="3" fontId="20" fillId="10" borderId="32" xfId="0" applyNumberFormat="1" applyFont="1" applyFill="1" applyBorder="1" applyAlignment="1">
      <alignment vertical="center"/>
    </xf>
    <xf numFmtId="3" fontId="20" fillId="4" borderId="37" xfId="0" applyNumberFormat="1" applyFont="1" applyFill="1" applyBorder="1" applyAlignment="1">
      <alignment vertical="center"/>
    </xf>
    <xf numFmtId="3" fontId="11" fillId="10" borderId="44" xfId="0" applyNumberFormat="1" applyFont="1" applyFill="1" applyBorder="1" applyAlignment="1">
      <alignment vertical="center"/>
    </xf>
    <xf numFmtId="3" fontId="11" fillId="4" borderId="19" xfId="0" applyNumberFormat="1" applyFont="1" applyFill="1" applyBorder="1" applyAlignment="1">
      <alignment vertical="center"/>
    </xf>
    <xf numFmtId="3" fontId="22" fillId="3" borderId="32" xfId="0" applyNumberFormat="1" applyFont="1" applyFill="1" applyBorder="1" applyAlignment="1">
      <alignment vertical="center"/>
    </xf>
    <xf numFmtId="3" fontId="22" fillId="3" borderId="31" xfId="0" applyNumberFormat="1" applyFont="1" applyFill="1" applyBorder="1" applyAlignment="1">
      <alignment vertical="center"/>
    </xf>
    <xf numFmtId="3" fontId="6" fillId="10" borderId="44" xfId="0" applyNumberFormat="1" applyFont="1" applyFill="1" applyBorder="1" applyAlignment="1">
      <alignment vertical="center"/>
    </xf>
    <xf numFmtId="3" fontId="6" fillId="4" borderId="15" xfId="0" applyNumberFormat="1" applyFont="1" applyFill="1" applyBorder="1" applyAlignment="1">
      <alignment vertical="center"/>
    </xf>
    <xf numFmtId="3" fontId="20" fillId="4" borderId="34" xfId="0" applyNumberFormat="1" applyFont="1" applyFill="1" applyBorder="1" applyAlignment="1">
      <alignment vertical="center"/>
    </xf>
    <xf numFmtId="3" fontId="6" fillId="3" borderId="34" xfId="0" applyNumberFormat="1" applyFont="1" applyFill="1" applyBorder="1" applyAlignment="1">
      <alignment vertical="center"/>
    </xf>
    <xf numFmtId="3" fontId="6" fillId="3" borderId="35" xfId="0" applyNumberFormat="1" applyFont="1" applyFill="1" applyBorder="1" applyAlignment="1">
      <alignment vertical="center"/>
    </xf>
    <xf numFmtId="3" fontId="11" fillId="10" borderId="35" xfId="0" applyNumberFormat="1" applyFont="1" applyFill="1" applyBorder="1" applyAlignment="1">
      <alignment vertical="center"/>
    </xf>
    <xf numFmtId="3" fontId="11" fillId="4" borderId="15" xfId="0" applyNumberFormat="1" applyFont="1" applyFill="1" applyBorder="1" applyAlignment="1">
      <alignment vertical="center"/>
    </xf>
    <xf numFmtId="3" fontId="20" fillId="10" borderId="9" xfId="0" applyNumberFormat="1" applyFont="1" applyFill="1" applyBorder="1" applyAlignment="1">
      <alignment vertical="center"/>
    </xf>
    <xf numFmtId="3" fontId="20" fillId="4" borderId="4" xfId="0" applyNumberFormat="1" applyFont="1" applyFill="1" applyBorder="1" applyAlignment="1">
      <alignment vertical="center"/>
    </xf>
    <xf numFmtId="3" fontId="20" fillId="4" borderId="25" xfId="0" applyNumberFormat="1" applyFont="1" applyFill="1" applyBorder="1" applyAlignment="1">
      <alignment vertical="center"/>
    </xf>
    <xf numFmtId="3" fontId="6" fillId="3" borderId="25" xfId="0" applyNumberFormat="1" applyFont="1" applyFill="1" applyBorder="1" applyAlignment="1">
      <alignment vertical="center"/>
    </xf>
    <xf numFmtId="3" fontId="6" fillId="3" borderId="16" xfId="0" applyNumberFormat="1" applyFont="1" applyFill="1" applyBorder="1" applyAlignment="1">
      <alignment vertical="center"/>
    </xf>
    <xf numFmtId="3" fontId="6" fillId="3" borderId="30" xfId="0" applyNumberFormat="1" applyFont="1" applyFill="1" applyBorder="1" applyAlignment="1">
      <alignment vertical="center"/>
    </xf>
    <xf numFmtId="3" fontId="6" fillId="6" borderId="24" xfId="0" applyNumberFormat="1" applyFont="1" applyFill="1" applyBorder="1" applyAlignment="1">
      <alignment vertical="center"/>
    </xf>
    <xf numFmtId="3" fontId="6" fillId="6" borderId="25" xfId="0" applyNumberFormat="1" applyFont="1" applyFill="1" applyBorder="1" applyAlignment="1">
      <alignment vertical="center"/>
    </xf>
    <xf numFmtId="3" fontId="6" fillId="6" borderId="32" xfId="0" applyNumberFormat="1" applyFont="1" applyFill="1" applyBorder="1" applyAlignment="1">
      <alignment vertical="center"/>
    </xf>
    <xf numFmtId="3" fontId="6" fillId="6" borderId="31" xfId="0" applyNumberFormat="1" applyFont="1" applyFill="1" applyBorder="1" applyAlignment="1">
      <alignment vertical="center"/>
    </xf>
    <xf numFmtId="3" fontId="6" fillId="3" borderId="26" xfId="0" applyNumberFormat="1" applyFont="1" applyFill="1" applyBorder="1" applyAlignment="1">
      <alignment vertical="center"/>
    </xf>
    <xf numFmtId="3" fontId="31" fillId="0" borderId="1" xfId="0" applyNumberFormat="1" applyFont="1" applyFill="1" applyBorder="1"/>
    <xf numFmtId="3" fontId="6" fillId="0" borderId="0" xfId="0" applyNumberFormat="1" applyFont="1" applyFill="1" applyAlignment="1">
      <alignment vertical="center"/>
    </xf>
    <xf numFmtId="165" fontId="6" fillId="0" borderId="0" xfId="0" applyNumberFormat="1" applyFont="1" applyAlignment="1">
      <alignment horizontal="center" vertical="center"/>
    </xf>
    <xf numFmtId="165" fontId="6" fillId="0" borderId="0" xfId="0" applyNumberFormat="1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3" fontId="6" fillId="0" borderId="0" xfId="0" applyNumberFormat="1" applyFont="1" applyFill="1" applyBorder="1" applyAlignment="1">
      <alignment vertical="center" wrapText="1"/>
    </xf>
    <xf numFmtId="4" fontId="6" fillId="0" borderId="0" xfId="0" applyNumberFormat="1" applyFont="1" applyFill="1" applyAlignment="1">
      <alignment vertical="center"/>
    </xf>
  </cellXfs>
  <cellStyles count="14">
    <cellStyle name="Čárka 2" xfId="11" xr:uid="{00000000-0005-0000-0000-000000000000}"/>
    <cellStyle name="Čárka 2 3" xfId="10" xr:uid="{00000000-0005-0000-0000-000001000000}"/>
    <cellStyle name="Header" xfId="13" xr:uid="{00000000-0005-0000-0000-000002000000}"/>
    <cellStyle name="Normální" xfId="0" builtinId="0"/>
    <cellStyle name="Normální 10" xfId="4" xr:uid="{00000000-0005-0000-0000-000004000000}"/>
    <cellStyle name="Normální 2" xfId="2" xr:uid="{00000000-0005-0000-0000-000005000000}"/>
    <cellStyle name="Normální 2 123 2" xfId="8" xr:uid="{00000000-0005-0000-0000-000006000000}"/>
    <cellStyle name="Normální 2 2" xfId="9" xr:uid="{00000000-0005-0000-0000-000007000000}"/>
    <cellStyle name="Normální 3" xfId="12" xr:uid="{00000000-0005-0000-0000-000008000000}"/>
    <cellStyle name="Normální 31" xfId="7" xr:uid="{00000000-0005-0000-0000-000009000000}"/>
    <cellStyle name="Normální 5" xfId="6" xr:uid="{00000000-0005-0000-0000-00000A000000}"/>
    <cellStyle name="normální_dle škol" xfId="5" xr:uid="{00000000-0005-0000-0000-00000B000000}"/>
    <cellStyle name="normální_List1" xfId="1" xr:uid="{00000000-0005-0000-0000-00000C000000}"/>
    <cellStyle name="normální_t 01" xfId="3" xr:uid="{00000000-0005-0000-0000-00000D000000}"/>
  </cellStyles>
  <dxfs count="0"/>
  <tableStyles count="0" defaultTableStyle="TableStyleMedium2" defaultPivotStyle="PivotStyleLight16"/>
  <colors>
    <mruColors>
      <color rgb="FF0000FB"/>
      <color rgb="FFFFFF99"/>
      <color rgb="FFF385C6"/>
      <color rgb="FFFFFFCC"/>
      <color rgb="FFE4DFE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554"/>
  <sheetViews>
    <sheetView tabSelected="1" zoomScale="80" zoomScaleNormal="80" workbookViewId="0">
      <pane ySplit="4" topLeftCell="A5" activePane="bottomLeft" state="frozen"/>
      <selection pane="bottomLeft" activeCell="AD14" sqref="AD14"/>
    </sheetView>
  </sheetViews>
  <sheetFormatPr defaultRowHeight="15" x14ac:dyDescent="0.25"/>
  <cols>
    <col min="1" max="1" width="14.7109375" customWidth="1"/>
    <col min="2" max="2" width="8.85546875" customWidth="1"/>
    <col min="3" max="3" width="5.42578125" customWidth="1"/>
    <col min="4" max="4" width="31.7109375" customWidth="1"/>
    <col min="5" max="6" width="37" customWidth="1"/>
    <col min="7" max="7" width="50.85546875" customWidth="1"/>
    <col min="8" max="8" width="9.85546875" style="494" customWidth="1"/>
    <col min="9" max="9" width="9.7109375" style="494" customWidth="1"/>
    <col min="10" max="10" width="12.28515625" style="494" customWidth="1"/>
    <col min="11" max="11" width="10.42578125" style="494" customWidth="1"/>
    <col min="12" max="15" width="8.7109375" customWidth="1"/>
    <col min="16" max="16" width="9.5703125" style="494" customWidth="1"/>
    <col min="17" max="17" width="9.140625" style="494" customWidth="1"/>
    <col min="18" max="18" width="12.5703125" style="494" customWidth="1"/>
    <col min="19" max="19" width="9.28515625" customWidth="1"/>
    <col min="20" max="20" width="9.85546875" customWidth="1"/>
    <col min="21" max="21" width="10.5703125" customWidth="1"/>
    <col min="22" max="22" width="10.28515625" customWidth="1"/>
    <col min="23" max="23" width="61.28515625" customWidth="1"/>
    <col min="24" max="24" width="14.28515625" customWidth="1"/>
    <col min="25" max="25" width="11" customWidth="1"/>
    <col min="26" max="26" width="9.28515625" customWidth="1"/>
    <col min="27" max="27" width="8.140625" customWidth="1"/>
  </cols>
  <sheetData>
    <row r="1" spans="1:27" ht="38.25" customHeight="1" thickBot="1" x14ac:dyDescent="0.3">
      <c r="A1" s="1680" t="s">
        <v>1499</v>
      </c>
      <c r="B1" s="1681"/>
      <c r="C1" s="1681"/>
      <c r="D1" s="1681"/>
      <c r="E1" s="1681"/>
      <c r="F1" s="1681"/>
      <c r="G1" s="1681"/>
      <c r="H1" s="1681"/>
      <c r="I1" s="1681"/>
      <c r="J1" s="1681"/>
      <c r="K1" s="1681"/>
      <c r="L1" s="1681"/>
      <c r="M1" s="1681"/>
      <c r="N1" s="1681"/>
      <c r="O1" s="1681"/>
      <c r="P1" s="1712"/>
      <c r="Q1" s="1712"/>
      <c r="R1" s="1712"/>
      <c r="S1" s="576"/>
      <c r="T1" s="576"/>
      <c r="U1" s="576"/>
      <c r="V1" s="576"/>
      <c r="W1" s="593"/>
      <c r="X1" s="1665" t="s">
        <v>895</v>
      </c>
      <c r="Y1" s="1666"/>
      <c r="Z1" s="1666"/>
      <c r="AA1" s="1667"/>
    </row>
    <row r="2" spans="1:27" ht="33.75" customHeight="1" thickBot="1" x14ac:dyDescent="0.3">
      <c r="A2" s="1668" t="s">
        <v>0</v>
      </c>
      <c r="B2" s="1669" t="s">
        <v>1</v>
      </c>
      <c r="C2" s="1669" t="s">
        <v>1500</v>
      </c>
      <c r="D2" s="1670" t="s">
        <v>1501</v>
      </c>
      <c r="E2" s="1671" t="s">
        <v>2</v>
      </c>
      <c r="F2" s="1671" t="s">
        <v>3</v>
      </c>
      <c r="G2" s="1672" t="s">
        <v>4</v>
      </c>
      <c r="H2" s="1671" t="s">
        <v>5</v>
      </c>
      <c r="I2" s="1677" t="s">
        <v>561</v>
      </c>
      <c r="J2" s="1698" t="s">
        <v>1949</v>
      </c>
      <c r="K2" s="1689" t="s">
        <v>1797</v>
      </c>
      <c r="L2" s="1693" t="s">
        <v>1492</v>
      </c>
      <c r="M2" s="1694"/>
      <c r="N2" s="1694"/>
      <c r="O2" s="1695"/>
      <c r="P2" s="1696" t="s">
        <v>1489</v>
      </c>
      <c r="Q2" s="1696"/>
      <c r="R2" s="1697"/>
      <c r="S2" s="1675" t="s">
        <v>6</v>
      </c>
      <c r="T2" s="1676"/>
      <c r="U2" s="1691" t="s">
        <v>1834</v>
      </c>
      <c r="V2" s="1691" t="s">
        <v>921</v>
      </c>
      <c r="W2" s="1678" t="s">
        <v>7</v>
      </c>
      <c r="X2" s="1670" t="s">
        <v>772</v>
      </c>
      <c r="Y2" s="1642" t="s">
        <v>1488</v>
      </c>
      <c r="Z2" s="1658" t="s">
        <v>798</v>
      </c>
      <c r="AA2" s="1642" t="s">
        <v>799</v>
      </c>
    </row>
    <row r="3" spans="1:27" ht="106.5" customHeight="1" thickBot="1" x14ac:dyDescent="0.3">
      <c r="A3" s="1688"/>
      <c r="B3" s="1682"/>
      <c r="C3" s="1682"/>
      <c r="D3" s="1683"/>
      <c r="E3" s="1673"/>
      <c r="F3" s="1673"/>
      <c r="G3" s="1684"/>
      <c r="H3" s="1673"/>
      <c r="I3" s="1687"/>
      <c r="J3" s="1699"/>
      <c r="K3" s="1690"/>
      <c r="L3" s="1576" t="s">
        <v>1226</v>
      </c>
      <c r="M3" s="1575" t="s">
        <v>1227</v>
      </c>
      <c r="N3" s="1577" t="s">
        <v>1490</v>
      </c>
      <c r="O3" s="653" t="s">
        <v>1491</v>
      </c>
      <c r="P3" s="1519" t="s">
        <v>1854</v>
      </c>
      <c r="Q3" s="100" t="s">
        <v>8</v>
      </c>
      <c r="R3" s="650" t="s">
        <v>1855</v>
      </c>
      <c r="S3" s="213" t="s">
        <v>1021</v>
      </c>
      <c r="T3" s="213" t="s">
        <v>1020</v>
      </c>
      <c r="U3" s="1692"/>
      <c r="V3" s="1692"/>
      <c r="W3" s="1679"/>
      <c r="X3" s="1674"/>
      <c r="Y3" s="1643"/>
      <c r="Z3" s="1659"/>
      <c r="AA3" s="1643"/>
    </row>
    <row r="4" spans="1:27" ht="16.5" thickBot="1" x14ac:dyDescent="0.3">
      <c r="A4" s="1582"/>
      <c r="B4" s="1583"/>
      <c r="C4" s="1583"/>
      <c r="D4" s="57"/>
      <c r="E4" s="1584"/>
      <c r="F4" s="1585"/>
      <c r="G4" s="1586"/>
      <c r="H4" s="1584"/>
      <c r="I4" s="1584"/>
      <c r="J4" s="96"/>
      <c r="K4" s="1587"/>
      <c r="L4" s="1588"/>
      <c r="M4" s="1589"/>
      <c r="N4" s="1590"/>
      <c r="O4" s="1591"/>
      <c r="P4" s="1591"/>
      <c r="Q4" s="1591"/>
      <c r="R4" s="1592"/>
      <c r="S4" s="1593"/>
      <c r="T4" s="1591"/>
      <c r="U4" s="1594"/>
      <c r="V4" s="1594"/>
      <c r="W4" s="715"/>
      <c r="X4" s="1583"/>
      <c r="Y4" s="1631"/>
      <c r="Z4" s="1630"/>
      <c r="AA4" s="1582"/>
    </row>
    <row r="5" spans="1:27" ht="60" x14ac:dyDescent="0.25">
      <c r="A5" s="598" t="s">
        <v>9</v>
      </c>
      <c r="B5" s="93" t="s">
        <v>10</v>
      </c>
      <c r="C5" s="4">
        <v>2016</v>
      </c>
      <c r="D5" s="4" t="s">
        <v>11</v>
      </c>
      <c r="E5" s="599" t="s">
        <v>12</v>
      </c>
      <c r="F5" s="89" t="s">
        <v>12</v>
      </c>
      <c r="G5" s="155" t="s">
        <v>13</v>
      </c>
      <c r="H5" s="1">
        <v>17500</v>
      </c>
      <c r="I5" s="215">
        <v>8356.2212799999998</v>
      </c>
      <c r="J5" s="676">
        <v>2917.7940000000003</v>
      </c>
      <c r="K5" s="51">
        <v>2917.7939999999999</v>
      </c>
      <c r="L5" s="40">
        <v>0</v>
      </c>
      <c r="M5" s="420">
        <v>0</v>
      </c>
      <c r="N5" s="420">
        <v>2225.9847199999999</v>
      </c>
      <c r="O5" s="2">
        <v>0</v>
      </c>
      <c r="P5" s="1742">
        <v>2225.9847199999999</v>
      </c>
      <c r="Q5" s="652">
        <v>0</v>
      </c>
      <c r="R5" s="1713">
        <f>P5+Q5</f>
        <v>2225.9847199999999</v>
      </c>
      <c r="S5" s="3">
        <v>0</v>
      </c>
      <c r="T5" s="2">
        <v>0</v>
      </c>
      <c r="U5" s="43">
        <v>2000</v>
      </c>
      <c r="V5" s="43">
        <v>2000</v>
      </c>
      <c r="W5" s="121" t="s">
        <v>543</v>
      </c>
      <c r="X5" s="4" t="s">
        <v>46</v>
      </c>
      <c r="Y5" s="245" t="s">
        <v>791</v>
      </c>
      <c r="Z5" s="107" t="s">
        <v>829</v>
      </c>
      <c r="AA5" s="107" t="s">
        <v>829</v>
      </c>
    </row>
    <row r="6" spans="1:27" s="466" customFormat="1" ht="39" customHeight="1" thickBot="1" x14ac:dyDescent="0.3">
      <c r="A6" s="636" t="s">
        <v>15</v>
      </c>
      <c r="B6" s="135" t="s">
        <v>777</v>
      </c>
      <c r="C6" s="130">
        <v>2018</v>
      </c>
      <c r="D6" s="133" t="s">
        <v>800</v>
      </c>
      <c r="E6" s="597" t="s">
        <v>12</v>
      </c>
      <c r="F6" s="88" t="s">
        <v>12</v>
      </c>
      <c r="G6" s="607" t="s">
        <v>16</v>
      </c>
      <c r="H6" s="46">
        <f>7000+18294.97</f>
        <v>25294.97</v>
      </c>
      <c r="I6" s="408">
        <v>0</v>
      </c>
      <c r="J6" s="326">
        <v>1520.9700000000003</v>
      </c>
      <c r="K6" s="408">
        <v>1520.97</v>
      </c>
      <c r="L6" s="48">
        <v>352.38</v>
      </c>
      <c r="M6" s="251">
        <v>2000</v>
      </c>
      <c r="N6" s="251">
        <v>2000</v>
      </c>
      <c r="O6" s="47">
        <f>4000-578.38</f>
        <v>3421.62</v>
      </c>
      <c r="P6" s="1742">
        <f>8352.38-578.38</f>
        <v>7773.9999999999991</v>
      </c>
      <c r="Q6" s="652">
        <v>0</v>
      </c>
      <c r="R6" s="1714">
        <f t="shared" ref="R6:R8" si="0">P6+Q6</f>
        <v>7773.9999999999991</v>
      </c>
      <c r="S6" s="49">
        <v>0</v>
      </c>
      <c r="T6" s="47">
        <v>0</v>
      </c>
      <c r="U6" s="545">
        <v>8000</v>
      </c>
      <c r="V6" s="545">
        <v>8000</v>
      </c>
      <c r="W6" s="130" t="s">
        <v>776</v>
      </c>
      <c r="X6" s="133" t="s">
        <v>46</v>
      </c>
      <c r="Y6" s="233" t="s">
        <v>791</v>
      </c>
      <c r="Z6" s="137" t="s">
        <v>829</v>
      </c>
      <c r="AA6" s="137" t="s">
        <v>829</v>
      </c>
    </row>
    <row r="7" spans="1:27" s="470" customFormat="1" ht="31.5" customHeight="1" x14ac:dyDescent="0.25">
      <c r="A7" s="601" t="s">
        <v>1467</v>
      </c>
      <c r="B7" s="93" t="s">
        <v>794</v>
      </c>
      <c r="C7" s="224">
        <v>2019</v>
      </c>
      <c r="D7" s="55" t="s">
        <v>1843</v>
      </c>
      <c r="E7" s="602" t="s">
        <v>12</v>
      </c>
      <c r="F7" s="89" t="s">
        <v>12</v>
      </c>
      <c r="G7" s="603" t="s">
        <v>1472</v>
      </c>
      <c r="H7" s="50">
        <v>1300</v>
      </c>
      <c r="I7" s="51">
        <v>0</v>
      </c>
      <c r="J7" s="676">
        <v>0</v>
      </c>
      <c r="K7" s="51">
        <v>0</v>
      </c>
      <c r="L7" s="52">
        <v>1300</v>
      </c>
      <c r="M7" s="420">
        <v>0</v>
      </c>
      <c r="N7" s="420">
        <v>0</v>
      </c>
      <c r="O7" s="12">
        <v>0</v>
      </c>
      <c r="P7" s="1743">
        <v>1300</v>
      </c>
      <c r="Q7" s="521">
        <v>0</v>
      </c>
      <c r="R7" s="1715">
        <f t="shared" si="0"/>
        <v>1300</v>
      </c>
      <c r="S7" s="13">
        <v>0</v>
      </c>
      <c r="T7" s="174">
        <v>0</v>
      </c>
      <c r="U7" s="174">
        <v>0</v>
      </c>
      <c r="V7" s="174">
        <v>0</v>
      </c>
      <c r="W7" s="131" t="s">
        <v>776</v>
      </c>
      <c r="X7" s="55" t="s">
        <v>20</v>
      </c>
      <c r="Y7" s="235" t="s">
        <v>883</v>
      </c>
      <c r="Z7" s="107" t="s">
        <v>828</v>
      </c>
      <c r="AA7" s="107" t="s">
        <v>828</v>
      </c>
    </row>
    <row r="8" spans="1:27" s="470" customFormat="1" ht="24" customHeight="1" x14ac:dyDescent="0.25">
      <c r="A8" s="64" t="s">
        <v>1476</v>
      </c>
      <c r="B8" s="64" t="s">
        <v>794</v>
      </c>
      <c r="C8" s="5">
        <v>2019</v>
      </c>
      <c r="D8" s="5" t="s">
        <v>1843</v>
      </c>
      <c r="E8" s="5" t="s">
        <v>12</v>
      </c>
      <c r="F8" s="5" t="s">
        <v>12</v>
      </c>
      <c r="G8" s="524" t="s">
        <v>1477</v>
      </c>
      <c r="H8" s="477">
        <v>50000</v>
      </c>
      <c r="I8" s="410">
        <v>0</v>
      </c>
      <c r="J8" s="677">
        <v>0</v>
      </c>
      <c r="K8" s="410">
        <v>0</v>
      </c>
      <c r="L8" s="411">
        <v>5000</v>
      </c>
      <c r="M8" s="248">
        <v>5000</v>
      </c>
      <c r="N8" s="248">
        <v>20000</v>
      </c>
      <c r="O8" s="30">
        <v>20000</v>
      </c>
      <c r="P8" s="1744">
        <v>50000</v>
      </c>
      <c r="Q8" s="651">
        <v>0</v>
      </c>
      <c r="R8" s="1715">
        <f t="shared" si="0"/>
        <v>50000</v>
      </c>
      <c r="S8" s="16">
        <v>0</v>
      </c>
      <c r="T8" s="29">
        <v>0</v>
      </c>
      <c r="U8" s="318">
        <v>0</v>
      </c>
      <c r="V8" s="318">
        <v>0</v>
      </c>
      <c r="W8" s="5" t="s">
        <v>776</v>
      </c>
      <c r="X8" s="4" t="s">
        <v>20</v>
      </c>
      <c r="Y8" s="232" t="s">
        <v>722</v>
      </c>
      <c r="Z8" s="106" t="s">
        <v>828</v>
      </c>
      <c r="AA8" s="106" t="s">
        <v>828</v>
      </c>
    </row>
    <row r="9" spans="1:27" ht="18" customHeight="1" thickBot="1" x14ac:dyDescent="0.3">
      <c r="A9" s="636"/>
      <c r="B9" s="135"/>
      <c r="C9" s="133"/>
      <c r="D9" s="133"/>
      <c r="E9" s="597"/>
      <c r="F9" s="88"/>
      <c r="G9" s="667"/>
      <c r="H9" s="46"/>
      <c r="I9" s="408"/>
      <c r="J9" s="678"/>
      <c r="K9" s="408"/>
      <c r="L9" s="48"/>
      <c r="M9" s="251"/>
      <c r="N9" s="251"/>
      <c r="O9" s="1520"/>
      <c r="P9" s="1745"/>
      <c r="Q9" s="1707"/>
      <c r="R9" s="1714"/>
      <c r="S9" s="49"/>
      <c r="T9" s="47"/>
      <c r="U9" s="545"/>
      <c r="V9" s="545"/>
      <c r="W9" s="130"/>
      <c r="X9" s="133"/>
      <c r="Y9" s="233"/>
      <c r="Z9" s="137"/>
      <c r="AA9" s="137"/>
    </row>
    <row r="10" spans="1:27" ht="35.25" customHeight="1" thickBot="1" x14ac:dyDescent="0.3">
      <c r="A10" s="1496" t="s">
        <v>776</v>
      </c>
      <c r="B10" s="1497" t="s">
        <v>776</v>
      </c>
      <c r="C10" s="151" t="s">
        <v>776</v>
      </c>
      <c r="D10" s="112" t="s">
        <v>776</v>
      </c>
      <c r="E10" s="497" t="s">
        <v>776</v>
      </c>
      <c r="F10" s="151" t="s">
        <v>776</v>
      </c>
      <c r="G10" s="498" t="s">
        <v>908</v>
      </c>
      <c r="H10" s="96">
        <f>SUM(H5:H9)</f>
        <v>94094.97</v>
      </c>
      <c r="I10" s="364">
        <f>SUM(I5:I9)</f>
        <v>8356.2212799999998</v>
      </c>
      <c r="J10" s="96">
        <f t="shared" ref="J10" si="1">SUM(J5:J9)</f>
        <v>4438.764000000001</v>
      </c>
      <c r="K10" s="364">
        <v>4438.7640000000001</v>
      </c>
      <c r="L10" s="96">
        <f t="shared" ref="L10:V10" si="2">SUM(L5:L9)</f>
        <v>6652.38</v>
      </c>
      <c r="M10" s="96">
        <f t="shared" si="2"/>
        <v>7000</v>
      </c>
      <c r="N10" s="96">
        <f t="shared" si="2"/>
        <v>24225.98472</v>
      </c>
      <c r="O10" s="96">
        <f t="shared" si="2"/>
        <v>23421.62</v>
      </c>
      <c r="P10" s="363">
        <f t="shared" si="2"/>
        <v>61299.98472</v>
      </c>
      <c r="Q10" s="96">
        <f t="shared" si="2"/>
        <v>0</v>
      </c>
      <c r="R10" s="96">
        <f t="shared" si="2"/>
        <v>61299.98472</v>
      </c>
      <c r="S10" s="96">
        <f>SUM(S5:S9)</f>
        <v>0</v>
      </c>
      <c r="T10" s="96">
        <f>SUM(T5:T9)</f>
        <v>0</v>
      </c>
      <c r="U10" s="96">
        <f t="shared" si="2"/>
        <v>10000</v>
      </c>
      <c r="V10" s="96">
        <f t="shared" si="2"/>
        <v>10000</v>
      </c>
      <c r="W10" s="128" t="s">
        <v>1856</v>
      </c>
      <c r="X10" s="97" t="s">
        <v>776</v>
      </c>
      <c r="Y10" s="681" t="s">
        <v>776</v>
      </c>
      <c r="Z10" s="97" t="s">
        <v>776</v>
      </c>
      <c r="AA10" s="102" t="s">
        <v>776</v>
      </c>
    </row>
    <row r="11" spans="1:27" ht="28.5" customHeight="1" x14ac:dyDescent="0.25">
      <c r="A11" s="1148" t="s">
        <v>17</v>
      </c>
      <c r="B11" s="1708" t="s">
        <v>18</v>
      </c>
      <c r="C11" s="760">
        <v>2011</v>
      </c>
      <c r="D11" s="760" t="s">
        <v>1014</v>
      </c>
      <c r="E11" s="1151" t="s">
        <v>12</v>
      </c>
      <c r="F11" s="1151" t="s">
        <v>12</v>
      </c>
      <c r="G11" s="1152" t="s">
        <v>19</v>
      </c>
      <c r="H11" s="1153">
        <f>49892.22+5650</f>
        <v>55542.22</v>
      </c>
      <c r="I11" s="754">
        <v>42341.813999999998</v>
      </c>
      <c r="J11" s="754">
        <v>1000.4060000000027</v>
      </c>
      <c r="K11" s="1499">
        <v>0</v>
      </c>
      <c r="L11" s="753">
        <v>50</v>
      </c>
      <c r="M11" s="886">
        <v>9150.4060000000009</v>
      </c>
      <c r="N11" s="886">
        <v>0</v>
      </c>
      <c r="O11" s="1488">
        <v>0</v>
      </c>
      <c r="P11" s="915">
        <v>9200.405999999999</v>
      </c>
      <c r="Q11" s="1154">
        <v>0</v>
      </c>
      <c r="R11" s="1716">
        <f t="shared" ref="R11:R23" si="3">P11+Q11</f>
        <v>9200.405999999999</v>
      </c>
      <c r="S11" s="1138">
        <v>0</v>
      </c>
      <c r="T11" s="1488">
        <v>0</v>
      </c>
      <c r="U11" s="1488">
        <v>4000</v>
      </c>
      <c r="V11" s="1488">
        <v>0</v>
      </c>
      <c r="W11" s="1595" t="s">
        <v>1751</v>
      </c>
      <c r="X11" s="760" t="s">
        <v>20</v>
      </c>
      <c r="Y11" s="762" t="s">
        <v>883</v>
      </c>
      <c r="Z11" s="761" t="s">
        <v>828</v>
      </c>
      <c r="AA11" s="761" t="s">
        <v>828</v>
      </c>
    </row>
    <row r="12" spans="1:27" ht="28.5" customHeight="1" x14ac:dyDescent="0.25">
      <c r="A12" s="849" t="s">
        <v>22</v>
      </c>
      <c r="B12" s="850" t="s">
        <v>23</v>
      </c>
      <c r="C12" s="553">
        <v>2011</v>
      </c>
      <c r="D12" s="553" t="s">
        <v>1014</v>
      </c>
      <c r="E12" s="1143" t="s">
        <v>12</v>
      </c>
      <c r="F12" s="1143" t="s">
        <v>12</v>
      </c>
      <c r="G12" s="903" t="s">
        <v>24</v>
      </c>
      <c r="H12" s="755">
        <v>5620.748799</v>
      </c>
      <c r="I12" s="751">
        <v>5407.9998000000005</v>
      </c>
      <c r="J12" s="767">
        <v>212.749</v>
      </c>
      <c r="K12" s="862">
        <v>140.84399999999999</v>
      </c>
      <c r="L12" s="777">
        <v>0</v>
      </c>
      <c r="M12" s="841">
        <f>212.749-140.844</f>
        <v>71.905000000000001</v>
      </c>
      <c r="N12" s="841">
        <v>0</v>
      </c>
      <c r="O12" s="857">
        <v>0</v>
      </c>
      <c r="P12" s="770">
        <f>212.749-140.844</f>
        <v>71.905000000000001</v>
      </c>
      <c r="Q12" s="1144">
        <v>0</v>
      </c>
      <c r="R12" s="1466">
        <f t="shared" si="3"/>
        <v>71.905000000000001</v>
      </c>
      <c r="S12" s="1145">
        <v>0</v>
      </c>
      <c r="T12" s="770">
        <v>0</v>
      </c>
      <c r="U12" s="857">
        <v>0</v>
      </c>
      <c r="V12" s="857">
        <v>0</v>
      </c>
      <c r="W12" s="435" t="s">
        <v>1787</v>
      </c>
      <c r="X12" s="553" t="s">
        <v>46</v>
      </c>
      <c r="Y12" s="865" t="s">
        <v>722</v>
      </c>
      <c r="Z12" s="774" t="s">
        <v>829</v>
      </c>
      <c r="AA12" s="774" t="s">
        <v>829</v>
      </c>
    </row>
    <row r="13" spans="1:27" ht="28.5" customHeight="1" x14ac:dyDescent="0.25">
      <c r="A13" s="849" t="s">
        <v>26</v>
      </c>
      <c r="B13" s="850" t="s">
        <v>27</v>
      </c>
      <c r="C13" s="553">
        <v>2015</v>
      </c>
      <c r="D13" s="553" t="s">
        <v>28</v>
      </c>
      <c r="E13" s="1143" t="s">
        <v>12</v>
      </c>
      <c r="F13" s="1143" t="s">
        <v>12</v>
      </c>
      <c r="G13" s="903" t="s">
        <v>29</v>
      </c>
      <c r="H13" s="755">
        <f>2276.279+1250-700</f>
        <v>2826.279</v>
      </c>
      <c r="I13" s="751">
        <v>2247.0389999999998</v>
      </c>
      <c r="J13" s="767">
        <v>579.24000000000024</v>
      </c>
      <c r="K13" s="862">
        <v>509.2149</v>
      </c>
      <c r="L13" s="777">
        <v>0</v>
      </c>
      <c r="M13" s="841">
        <v>70.025099999999995</v>
      </c>
      <c r="N13" s="841">
        <v>0</v>
      </c>
      <c r="O13" s="857">
        <v>0</v>
      </c>
      <c r="P13" s="770">
        <v>70.025099999999995</v>
      </c>
      <c r="Q13" s="1144">
        <v>0</v>
      </c>
      <c r="R13" s="1466">
        <f t="shared" si="3"/>
        <v>70.025099999999995</v>
      </c>
      <c r="S13" s="1145">
        <v>0</v>
      </c>
      <c r="T13" s="857">
        <v>0</v>
      </c>
      <c r="U13" s="857">
        <v>0</v>
      </c>
      <c r="V13" s="857">
        <v>0</v>
      </c>
      <c r="W13" s="840" t="s">
        <v>1752</v>
      </c>
      <c r="X13" s="553" t="s">
        <v>46</v>
      </c>
      <c r="Y13" s="775" t="s">
        <v>859</v>
      </c>
      <c r="Z13" s="774" t="s">
        <v>828</v>
      </c>
      <c r="AA13" s="774" t="s">
        <v>828</v>
      </c>
    </row>
    <row r="14" spans="1:27" ht="28.5" customHeight="1" x14ac:dyDescent="0.25">
      <c r="A14" s="849" t="s">
        <v>30</v>
      </c>
      <c r="B14" s="764" t="s">
        <v>31</v>
      </c>
      <c r="C14" s="819">
        <v>2016</v>
      </c>
      <c r="D14" s="553" t="s">
        <v>1013</v>
      </c>
      <c r="E14" s="1146" t="s">
        <v>12</v>
      </c>
      <c r="F14" s="1143" t="s">
        <v>12</v>
      </c>
      <c r="G14" s="1147" t="s">
        <v>32</v>
      </c>
      <c r="H14" s="778">
        <v>1900</v>
      </c>
      <c r="I14" s="767">
        <v>625.25400000000002</v>
      </c>
      <c r="J14" s="767">
        <v>1274.7460000000001</v>
      </c>
      <c r="K14" s="862">
        <v>1039</v>
      </c>
      <c r="L14" s="777">
        <v>235.74600000000001</v>
      </c>
      <c r="M14" s="841">
        <v>0</v>
      </c>
      <c r="N14" s="841">
        <v>0</v>
      </c>
      <c r="O14" s="857">
        <v>0</v>
      </c>
      <c r="P14" s="770">
        <f>1274.746-1039</f>
        <v>235.74600000000009</v>
      </c>
      <c r="Q14" s="1144">
        <v>0</v>
      </c>
      <c r="R14" s="1466">
        <f t="shared" si="3"/>
        <v>235.74600000000009</v>
      </c>
      <c r="S14" s="1145">
        <v>0</v>
      </c>
      <c r="T14" s="770">
        <v>0</v>
      </c>
      <c r="U14" s="770">
        <v>0</v>
      </c>
      <c r="V14" s="770">
        <v>0</v>
      </c>
      <c r="W14" s="840" t="s">
        <v>1753</v>
      </c>
      <c r="X14" s="553" t="s">
        <v>14</v>
      </c>
      <c r="Y14" s="775" t="s">
        <v>883</v>
      </c>
      <c r="Z14" s="774" t="s">
        <v>828</v>
      </c>
      <c r="AA14" s="774" t="s">
        <v>828</v>
      </c>
    </row>
    <row r="15" spans="1:27" ht="28.5" customHeight="1" thickBot="1" x14ac:dyDescent="0.3">
      <c r="A15" s="132" t="s">
        <v>33</v>
      </c>
      <c r="B15" s="135" t="s">
        <v>34</v>
      </c>
      <c r="C15" s="133">
        <v>2015</v>
      </c>
      <c r="D15" s="133" t="s">
        <v>28</v>
      </c>
      <c r="E15" s="597" t="s">
        <v>12</v>
      </c>
      <c r="F15" s="597" t="s">
        <v>12</v>
      </c>
      <c r="G15" s="607" t="s">
        <v>35</v>
      </c>
      <c r="H15" s="134">
        <v>4164.8613999999998</v>
      </c>
      <c r="I15" s="46">
        <v>664.86500000000001</v>
      </c>
      <c r="J15" s="678">
        <v>0</v>
      </c>
      <c r="K15" s="250">
        <v>0</v>
      </c>
      <c r="L15" s="48">
        <f>3500-0.0036</f>
        <v>3499.9964</v>
      </c>
      <c r="M15" s="251">
        <v>0</v>
      </c>
      <c r="N15" s="251">
        <v>0</v>
      </c>
      <c r="O15" s="47">
        <v>0</v>
      </c>
      <c r="P15" s="1746">
        <v>3499.9964</v>
      </c>
      <c r="Q15" s="526">
        <v>0</v>
      </c>
      <c r="R15" s="1714">
        <f t="shared" si="3"/>
        <v>3499.9964</v>
      </c>
      <c r="S15" s="567">
        <v>0</v>
      </c>
      <c r="T15" s="608">
        <v>0</v>
      </c>
      <c r="U15" s="608">
        <v>0</v>
      </c>
      <c r="V15" s="608">
        <v>0</v>
      </c>
      <c r="W15" s="133" t="s">
        <v>776</v>
      </c>
      <c r="X15" s="133" t="s">
        <v>14</v>
      </c>
      <c r="Y15" s="233" t="s">
        <v>854</v>
      </c>
      <c r="Z15" s="137" t="s">
        <v>828</v>
      </c>
      <c r="AA15" s="137" t="s">
        <v>828</v>
      </c>
    </row>
    <row r="16" spans="1:27" ht="30" customHeight="1" x14ac:dyDescent="0.25">
      <c r="A16" s="1148" t="s">
        <v>36</v>
      </c>
      <c r="B16" s="1149" t="s">
        <v>1508</v>
      </c>
      <c r="C16" s="1150">
        <v>2019</v>
      </c>
      <c r="D16" s="760" t="s">
        <v>801</v>
      </c>
      <c r="E16" s="760" t="s">
        <v>12</v>
      </c>
      <c r="F16" s="1151" t="s">
        <v>12</v>
      </c>
      <c r="G16" s="1152" t="s">
        <v>37</v>
      </c>
      <c r="H16" s="1153">
        <v>330</v>
      </c>
      <c r="I16" s="754">
        <v>0</v>
      </c>
      <c r="J16" s="754">
        <v>330</v>
      </c>
      <c r="K16" s="1499">
        <v>74</v>
      </c>
      <c r="L16" s="753">
        <v>0</v>
      </c>
      <c r="M16" s="886">
        <v>256</v>
      </c>
      <c r="N16" s="886">
        <v>0</v>
      </c>
      <c r="O16" s="1488">
        <v>0</v>
      </c>
      <c r="P16" s="915">
        <f>330-74</f>
        <v>256</v>
      </c>
      <c r="Q16" s="1154">
        <v>0</v>
      </c>
      <c r="R16" s="1716">
        <f t="shared" si="3"/>
        <v>256</v>
      </c>
      <c r="S16" s="1138">
        <v>0</v>
      </c>
      <c r="T16" s="915">
        <v>0</v>
      </c>
      <c r="U16" s="915">
        <v>0</v>
      </c>
      <c r="V16" s="915">
        <v>0</v>
      </c>
      <c r="W16" s="1595" t="s">
        <v>1754</v>
      </c>
      <c r="X16" s="760" t="s">
        <v>46</v>
      </c>
      <c r="Y16" s="762" t="s">
        <v>722</v>
      </c>
      <c r="Z16" s="761" t="s">
        <v>829</v>
      </c>
      <c r="AA16" s="761" t="s">
        <v>829</v>
      </c>
    </row>
    <row r="17" spans="1:27" s="470" customFormat="1" ht="25.5" x14ac:dyDescent="0.25">
      <c r="A17" s="849" t="s">
        <v>38</v>
      </c>
      <c r="B17" s="764" t="s">
        <v>1155</v>
      </c>
      <c r="C17" s="904">
        <v>2019</v>
      </c>
      <c r="D17" s="553" t="s">
        <v>801</v>
      </c>
      <c r="E17" s="553" t="s">
        <v>12</v>
      </c>
      <c r="F17" s="1143" t="s">
        <v>12</v>
      </c>
      <c r="G17" s="903" t="s">
        <v>39</v>
      </c>
      <c r="H17" s="778">
        <f>1200+900</f>
        <v>2100</v>
      </c>
      <c r="I17" s="751">
        <v>0</v>
      </c>
      <c r="J17" s="767">
        <v>2100</v>
      </c>
      <c r="K17" s="862">
        <v>145.19999999999999</v>
      </c>
      <c r="L17" s="777">
        <v>1954.8</v>
      </c>
      <c r="M17" s="841">
        <v>0</v>
      </c>
      <c r="N17" s="841">
        <v>0</v>
      </c>
      <c r="O17" s="857">
        <v>0</v>
      </c>
      <c r="P17" s="770">
        <v>1954.8</v>
      </c>
      <c r="Q17" s="1144">
        <v>0</v>
      </c>
      <c r="R17" s="1466">
        <f t="shared" si="3"/>
        <v>1954.8</v>
      </c>
      <c r="S17" s="855">
        <v>0</v>
      </c>
      <c r="T17" s="770">
        <v>0</v>
      </c>
      <c r="U17" s="770">
        <v>0</v>
      </c>
      <c r="V17" s="770">
        <v>0</v>
      </c>
      <c r="W17" s="840" t="s">
        <v>1755</v>
      </c>
      <c r="X17" s="551" t="s">
        <v>46</v>
      </c>
      <c r="Y17" s="775" t="s">
        <v>854</v>
      </c>
      <c r="Z17" s="774" t="s">
        <v>829</v>
      </c>
      <c r="AA17" s="774" t="s">
        <v>829</v>
      </c>
    </row>
    <row r="18" spans="1:27" ht="30" customHeight="1" x14ac:dyDescent="0.25">
      <c r="A18" s="61" t="s">
        <v>40</v>
      </c>
      <c r="B18" s="94" t="s">
        <v>794</v>
      </c>
      <c r="C18" s="74">
        <v>2019</v>
      </c>
      <c r="D18" s="5" t="s">
        <v>801</v>
      </c>
      <c r="E18" s="5" t="s">
        <v>12</v>
      </c>
      <c r="F18" s="113" t="s">
        <v>12</v>
      </c>
      <c r="G18" s="505" t="s">
        <v>41</v>
      </c>
      <c r="H18" s="10">
        <v>100</v>
      </c>
      <c r="I18" s="1">
        <v>0</v>
      </c>
      <c r="J18" s="677">
        <v>0</v>
      </c>
      <c r="K18" s="246">
        <v>0</v>
      </c>
      <c r="L18" s="32">
        <v>100</v>
      </c>
      <c r="M18" s="247">
        <v>0</v>
      </c>
      <c r="N18" s="247">
        <v>0</v>
      </c>
      <c r="O18" s="15">
        <v>0</v>
      </c>
      <c r="P18" s="1747">
        <v>100</v>
      </c>
      <c r="Q18" s="523">
        <v>0</v>
      </c>
      <c r="R18" s="1715">
        <f t="shared" si="3"/>
        <v>100</v>
      </c>
      <c r="S18" s="16">
        <v>0</v>
      </c>
      <c r="T18" s="45">
        <v>0</v>
      </c>
      <c r="U18" s="45">
        <v>0</v>
      </c>
      <c r="V18" s="45">
        <v>0</v>
      </c>
      <c r="W18" s="5" t="s">
        <v>776</v>
      </c>
      <c r="X18" s="5" t="s">
        <v>20</v>
      </c>
      <c r="Y18" s="232" t="s">
        <v>854</v>
      </c>
      <c r="Z18" s="104" t="s">
        <v>828</v>
      </c>
      <c r="AA18" s="104" t="s">
        <v>828</v>
      </c>
    </row>
    <row r="19" spans="1:27" ht="31.5" customHeight="1" thickBot="1" x14ac:dyDescent="0.3">
      <c r="A19" s="869" t="s">
        <v>42</v>
      </c>
      <c r="B19" s="870" t="s">
        <v>1497</v>
      </c>
      <c r="C19" s="910">
        <v>2019</v>
      </c>
      <c r="D19" s="871" t="s">
        <v>801</v>
      </c>
      <c r="E19" s="1155" t="s">
        <v>12</v>
      </c>
      <c r="F19" s="1156" t="s">
        <v>12</v>
      </c>
      <c r="G19" s="1157" t="s">
        <v>43</v>
      </c>
      <c r="H19" s="875">
        <f>500-100</f>
        <v>400</v>
      </c>
      <c r="I19" s="874">
        <v>0</v>
      </c>
      <c r="J19" s="874">
        <v>400</v>
      </c>
      <c r="K19" s="1209">
        <v>371.3732</v>
      </c>
      <c r="L19" s="1158">
        <v>28.626799999999999</v>
      </c>
      <c r="M19" s="878">
        <v>0</v>
      </c>
      <c r="N19" s="878">
        <v>0</v>
      </c>
      <c r="O19" s="879">
        <v>0</v>
      </c>
      <c r="P19" s="876">
        <v>28.626800000000003</v>
      </c>
      <c r="Q19" s="1159">
        <v>0</v>
      </c>
      <c r="R19" s="1717">
        <f t="shared" si="3"/>
        <v>28.626800000000003</v>
      </c>
      <c r="S19" s="880">
        <v>0</v>
      </c>
      <c r="T19" s="876">
        <v>0</v>
      </c>
      <c r="U19" s="876">
        <v>0</v>
      </c>
      <c r="V19" s="876">
        <v>0</v>
      </c>
      <c r="W19" s="871" t="s">
        <v>1756</v>
      </c>
      <c r="X19" s="871" t="s">
        <v>46</v>
      </c>
      <c r="Y19" s="882" t="s">
        <v>883</v>
      </c>
      <c r="Z19" s="881" t="s">
        <v>828</v>
      </c>
      <c r="AA19" s="881" t="s">
        <v>828</v>
      </c>
    </row>
    <row r="20" spans="1:27" s="464" customFormat="1" ht="32.25" customHeight="1" thickBot="1" x14ac:dyDescent="0.3">
      <c r="A20" s="1413" t="s">
        <v>955</v>
      </c>
      <c r="B20" s="1414" t="s">
        <v>1526</v>
      </c>
      <c r="C20" s="1415">
        <v>2019</v>
      </c>
      <c r="D20" s="1416" t="s">
        <v>1150</v>
      </c>
      <c r="E20" s="1417" t="s">
        <v>12</v>
      </c>
      <c r="F20" s="1418" t="s">
        <v>12</v>
      </c>
      <c r="G20" s="1419" t="s">
        <v>956</v>
      </c>
      <c r="H20" s="1420">
        <f>700-80-16.679</f>
        <v>603.32100000000003</v>
      </c>
      <c r="I20" s="1501">
        <v>0</v>
      </c>
      <c r="J20" s="1422">
        <v>620</v>
      </c>
      <c r="K20" s="1498">
        <v>603.32100000000003</v>
      </c>
      <c r="L20" s="1421">
        <v>0</v>
      </c>
      <c r="M20" s="1489">
        <v>0</v>
      </c>
      <c r="N20" s="1489">
        <v>0</v>
      </c>
      <c r="O20" s="1490">
        <v>0</v>
      </c>
      <c r="P20" s="1748">
        <v>16.678999999999998</v>
      </c>
      <c r="Q20" s="1456">
        <f>-1*P20</f>
        <v>-16.678999999999998</v>
      </c>
      <c r="R20" s="1718">
        <f t="shared" si="3"/>
        <v>0</v>
      </c>
      <c r="S20" s="1424">
        <v>0</v>
      </c>
      <c r="T20" s="1423">
        <v>0</v>
      </c>
      <c r="U20" s="1423">
        <v>0</v>
      </c>
      <c r="V20" s="1423">
        <v>0</v>
      </c>
      <c r="W20" s="1416" t="s">
        <v>1836</v>
      </c>
      <c r="X20" s="1416" t="s">
        <v>866</v>
      </c>
      <c r="Y20" s="1504" t="s">
        <v>305</v>
      </c>
      <c r="Z20" s="1425" t="s">
        <v>828</v>
      </c>
      <c r="AA20" s="1425" t="s">
        <v>828</v>
      </c>
    </row>
    <row r="21" spans="1:27" ht="28.5" customHeight="1" x14ac:dyDescent="0.25">
      <c r="A21" s="61" t="s">
        <v>1229</v>
      </c>
      <c r="B21" s="604" t="s">
        <v>794</v>
      </c>
      <c r="C21" s="121">
        <v>2019</v>
      </c>
      <c r="D21" s="4" t="s">
        <v>1843</v>
      </c>
      <c r="E21" s="142" t="s">
        <v>12</v>
      </c>
      <c r="F21" s="89" t="s">
        <v>12</v>
      </c>
      <c r="G21" s="605" t="s">
        <v>1473</v>
      </c>
      <c r="H21" s="50">
        <v>10000</v>
      </c>
      <c r="I21" s="50">
        <v>0</v>
      </c>
      <c r="J21" s="1405">
        <v>0</v>
      </c>
      <c r="K21" s="246">
        <v>0</v>
      </c>
      <c r="L21" s="40">
        <v>150</v>
      </c>
      <c r="M21" s="420">
        <v>0</v>
      </c>
      <c r="N21" s="420">
        <v>0</v>
      </c>
      <c r="O21" s="2">
        <v>4350</v>
      </c>
      <c r="P21" s="1742">
        <v>4500</v>
      </c>
      <c r="Q21" s="652">
        <v>0</v>
      </c>
      <c r="R21" s="1715">
        <f t="shared" si="3"/>
        <v>4500</v>
      </c>
      <c r="S21" s="3">
        <v>0</v>
      </c>
      <c r="T21" s="600">
        <v>0</v>
      </c>
      <c r="U21" s="600">
        <v>5500</v>
      </c>
      <c r="V21" s="600">
        <v>0</v>
      </c>
      <c r="W21" s="121" t="s">
        <v>776</v>
      </c>
      <c r="X21" s="4" t="s">
        <v>20</v>
      </c>
      <c r="Y21" s="231" t="s">
        <v>859</v>
      </c>
      <c r="Z21" s="424" t="s">
        <v>828</v>
      </c>
      <c r="AA21" s="401" t="s">
        <v>828</v>
      </c>
    </row>
    <row r="22" spans="1:27" ht="28.5" customHeight="1" x14ac:dyDescent="0.25">
      <c r="A22" s="64" t="s">
        <v>1230</v>
      </c>
      <c r="B22" s="87" t="s">
        <v>794</v>
      </c>
      <c r="C22" s="74">
        <v>2019</v>
      </c>
      <c r="D22" s="5" t="s">
        <v>1843</v>
      </c>
      <c r="E22" s="139" t="s">
        <v>12</v>
      </c>
      <c r="F22" s="65" t="s">
        <v>12</v>
      </c>
      <c r="G22" s="252" t="s">
        <v>1474</v>
      </c>
      <c r="H22" s="14">
        <v>120</v>
      </c>
      <c r="I22" s="14">
        <v>0</v>
      </c>
      <c r="J22" s="677">
        <v>0</v>
      </c>
      <c r="K22" s="246">
        <v>0</v>
      </c>
      <c r="L22" s="32">
        <v>120</v>
      </c>
      <c r="M22" s="247">
        <v>0</v>
      </c>
      <c r="N22" s="247">
        <v>0</v>
      </c>
      <c r="O22" s="15">
        <v>0</v>
      </c>
      <c r="P22" s="1747">
        <v>120</v>
      </c>
      <c r="Q22" s="523">
        <v>0</v>
      </c>
      <c r="R22" s="1715">
        <f t="shared" si="3"/>
        <v>120</v>
      </c>
      <c r="S22" s="16">
        <v>0</v>
      </c>
      <c r="T22" s="45">
        <v>0</v>
      </c>
      <c r="U22" s="45">
        <v>0</v>
      </c>
      <c r="V22" s="45">
        <v>0</v>
      </c>
      <c r="W22" s="53" t="s">
        <v>776</v>
      </c>
      <c r="X22" s="5" t="s">
        <v>20</v>
      </c>
      <c r="Y22" s="232" t="s">
        <v>883</v>
      </c>
      <c r="Z22" s="104" t="s">
        <v>828</v>
      </c>
      <c r="AA22" s="104" t="s">
        <v>828</v>
      </c>
    </row>
    <row r="23" spans="1:27" ht="28.5" customHeight="1" x14ac:dyDescent="0.25">
      <c r="A23" s="64" t="s">
        <v>1471</v>
      </c>
      <c r="B23" s="1164" t="s">
        <v>794</v>
      </c>
      <c r="C23" s="74">
        <v>2019</v>
      </c>
      <c r="D23" s="5" t="s">
        <v>1843</v>
      </c>
      <c r="E23" s="139" t="s">
        <v>12</v>
      </c>
      <c r="F23" s="65" t="s">
        <v>12</v>
      </c>
      <c r="G23" s="252" t="s">
        <v>1472</v>
      </c>
      <c r="H23" s="14">
        <v>1300</v>
      </c>
      <c r="I23" s="14">
        <v>0</v>
      </c>
      <c r="J23" s="677">
        <v>0</v>
      </c>
      <c r="K23" s="246">
        <v>0</v>
      </c>
      <c r="L23" s="32">
        <v>0</v>
      </c>
      <c r="M23" s="247">
        <v>1300</v>
      </c>
      <c r="N23" s="247">
        <v>0</v>
      </c>
      <c r="O23" s="1491">
        <v>0</v>
      </c>
      <c r="P23" s="1747">
        <v>1300</v>
      </c>
      <c r="Q23" s="523">
        <v>0</v>
      </c>
      <c r="R23" s="1715">
        <f t="shared" si="3"/>
        <v>1300</v>
      </c>
      <c r="S23" s="16">
        <v>0</v>
      </c>
      <c r="T23" s="45">
        <v>0</v>
      </c>
      <c r="U23" s="45">
        <v>0</v>
      </c>
      <c r="V23" s="45">
        <v>0</v>
      </c>
      <c r="W23" s="53" t="s">
        <v>776</v>
      </c>
      <c r="X23" s="5" t="s">
        <v>20</v>
      </c>
      <c r="Y23" s="232" t="s">
        <v>883</v>
      </c>
      <c r="Z23" s="104" t="s">
        <v>828</v>
      </c>
      <c r="AA23" s="104" t="s">
        <v>828</v>
      </c>
    </row>
    <row r="24" spans="1:27" ht="18" customHeight="1" thickBot="1" x14ac:dyDescent="0.3">
      <c r="A24" s="132"/>
      <c r="B24" s="668"/>
      <c r="C24" s="225"/>
      <c r="D24" s="669"/>
      <c r="E24" s="371"/>
      <c r="F24" s="88"/>
      <c r="G24" s="610"/>
      <c r="H24" s="46"/>
      <c r="I24" s="46"/>
      <c r="J24" s="678"/>
      <c r="K24" s="250"/>
      <c r="L24" s="48"/>
      <c r="M24" s="251"/>
      <c r="N24" s="251"/>
      <c r="O24" s="47"/>
      <c r="P24" s="1746"/>
      <c r="Q24" s="526"/>
      <c r="R24" s="1714"/>
      <c r="S24" s="49"/>
      <c r="T24" s="608"/>
      <c r="U24" s="608"/>
      <c r="V24" s="223"/>
      <c r="W24" s="192"/>
      <c r="X24" s="56"/>
      <c r="Y24" s="1505"/>
      <c r="Z24" s="217"/>
      <c r="AA24" s="401"/>
    </row>
    <row r="25" spans="1:27" ht="35.25" customHeight="1" thickBot="1" x14ac:dyDescent="0.3">
      <c r="A25" s="1496" t="s">
        <v>776</v>
      </c>
      <c r="B25" s="1497" t="s">
        <v>776</v>
      </c>
      <c r="C25" s="151" t="s">
        <v>776</v>
      </c>
      <c r="D25" s="112" t="s">
        <v>776</v>
      </c>
      <c r="E25" s="497" t="s">
        <v>776</v>
      </c>
      <c r="F25" s="151" t="s">
        <v>776</v>
      </c>
      <c r="G25" s="499" t="s">
        <v>907</v>
      </c>
      <c r="H25" s="96">
        <f>SUM(H11:H24)</f>
        <v>85007.430198999995</v>
      </c>
      <c r="I25" s="96">
        <f t="shared" ref="I25:V25" si="4">SUM(I11:I24)</f>
        <v>51286.971799999992</v>
      </c>
      <c r="J25" s="326">
        <f>SUM(J11:J24)</f>
        <v>6517.1410000000033</v>
      </c>
      <c r="K25" s="1406">
        <v>2882.9530999999997</v>
      </c>
      <c r="L25" s="96">
        <f t="shared" si="4"/>
        <v>6139.1692000000003</v>
      </c>
      <c r="M25" s="96">
        <f t="shared" si="4"/>
        <v>10848.336100000002</v>
      </c>
      <c r="N25" s="96">
        <f t="shared" si="4"/>
        <v>0</v>
      </c>
      <c r="O25" s="96">
        <f t="shared" si="4"/>
        <v>4350</v>
      </c>
      <c r="P25" s="363">
        <f t="shared" si="4"/>
        <v>21354.184300000001</v>
      </c>
      <c r="Q25" s="96">
        <f t="shared" si="4"/>
        <v>-16.678999999999998</v>
      </c>
      <c r="R25" s="96">
        <f t="shared" si="4"/>
        <v>21337.505299999997</v>
      </c>
      <c r="S25" s="96">
        <f t="shared" si="4"/>
        <v>0</v>
      </c>
      <c r="T25" s="96">
        <f t="shared" si="4"/>
        <v>0</v>
      </c>
      <c r="U25" s="96">
        <f t="shared" si="4"/>
        <v>9500</v>
      </c>
      <c r="V25" s="96">
        <f t="shared" si="4"/>
        <v>0</v>
      </c>
      <c r="W25" s="128" t="s">
        <v>1856</v>
      </c>
      <c r="X25" s="97" t="s">
        <v>776</v>
      </c>
      <c r="Y25" s="1506" t="s">
        <v>776</v>
      </c>
      <c r="Z25" s="97" t="s">
        <v>776</v>
      </c>
      <c r="AA25" s="97" t="s">
        <v>776</v>
      </c>
    </row>
    <row r="26" spans="1:27" s="470" customFormat="1" ht="54.75" customHeight="1" x14ac:dyDescent="0.25">
      <c r="A26" s="85" t="s">
        <v>802</v>
      </c>
      <c r="B26" s="637" t="s">
        <v>44</v>
      </c>
      <c r="C26" s="4">
        <v>2011</v>
      </c>
      <c r="D26" s="5" t="s">
        <v>1012</v>
      </c>
      <c r="E26" s="62" t="s">
        <v>12</v>
      </c>
      <c r="F26" s="90" t="s">
        <v>12</v>
      </c>
      <c r="G26" s="510" t="s">
        <v>45</v>
      </c>
      <c r="H26" s="1">
        <f>16659.59+29+23</f>
        <v>16711.59</v>
      </c>
      <c r="I26" s="50">
        <v>13036.527400000001</v>
      </c>
      <c r="J26" s="676">
        <v>573.54</v>
      </c>
      <c r="K26" s="246">
        <v>573.54</v>
      </c>
      <c r="L26" s="40">
        <v>1100</v>
      </c>
      <c r="M26" s="420">
        <v>0</v>
      </c>
      <c r="N26" s="420">
        <f>P26-L26</f>
        <v>2001.5226000000002</v>
      </c>
      <c r="O26" s="2">
        <v>0</v>
      </c>
      <c r="P26" s="1742">
        <v>3101.5226000000002</v>
      </c>
      <c r="Q26" s="652">
        <v>0</v>
      </c>
      <c r="R26" s="1715">
        <f t="shared" ref="R26:R44" si="5">P26+Q26</f>
        <v>3101.5226000000002</v>
      </c>
      <c r="S26" s="3">
        <v>0</v>
      </c>
      <c r="T26" s="2">
        <v>0</v>
      </c>
      <c r="U26" s="2">
        <v>0</v>
      </c>
      <c r="V26" s="2">
        <v>0</v>
      </c>
      <c r="W26" s="53" t="s">
        <v>1493</v>
      </c>
      <c r="X26" s="142" t="s">
        <v>46</v>
      </c>
      <c r="Y26" s="635" t="s">
        <v>310</v>
      </c>
      <c r="Z26" s="107" t="s">
        <v>829</v>
      </c>
      <c r="AA26" s="634" t="s">
        <v>829</v>
      </c>
    </row>
    <row r="27" spans="1:27" s="467" customFormat="1" ht="28.5" customHeight="1" x14ac:dyDescent="0.25">
      <c r="A27" s="136" t="s">
        <v>803</v>
      </c>
      <c r="B27" s="140" t="s">
        <v>47</v>
      </c>
      <c r="C27" s="68">
        <v>2011</v>
      </c>
      <c r="D27" s="68" t="s">
        <v>1012</v>
      </c>
      <c r="E27" s="69" t="s">
        <v>12</v>
      </c>
      <c r="F27" s="77" t="s">
        <v>12</v>
      </c>
      <c r="G27" s="162" t="s">
        <v>48</v>
      </c>
      <c r="H27" s="19">
        <f>3836.825-3.18038</f>
        <v>3833.64462</v>
      </c>
      <c r="I27" s="19">
        <f>3455.93102</f>
        <v>3455.93102</v>
      </c>
      <c r="J27" s="1452">
        <v>377.71359999999999</v>
      </c>
      <c r="K27" s="422">
        <v>377.71359999999999</v>
      </c>
      <c r="L27" s="33">
        <v>0</v>
      </c>
      <c r="M27" s="255">
        <v>0</v>
      </c>
      <c r="N27" s="255">
        <v>0</v>
      </c>
      <c r="O27" s="20">
        <v>0</v>
      </c>
      <c r="P27" s="1749">
        <v>0</v>
      </c>
      <c r="Q27" s="587">
        <v>0</v>
      </c>
      <c r="R27" s="1719">
        <f t="shared" si="5"/>
        <v>0</v>
      </c>
      <c r="S27" s="21">
        <v>0</v>
      </c>
      <c r="T27" s="20">
        <v>0</v>
      </c>
      <c r="U27" s="20">
        <v>0</v>
      </c>
      <c r="V27" s="20">
        <v>0</v>
      </c>
      <c r="W27" s="115" t="s">
        <v>776</v>
      </c>
      <c r="X27" s="141" t="s">
        <v>866</v>
      </c>
      <c r="Y27" s="322" t="s">
        <v>322</v>
      </c>
      <c r="Z27" s="67" t="s">
        <v>829</v>
      </c>
      <c r="AA27" s="198" t="s">
        <v>829</v>
      </c>
    </row>
    <row r="28" spans="1:27" s="470" customFormat="1" ht="28.5" customHeight="1" x14ac:dyDescent="0.25">
      <c r="A28" s="64" t="s">
        <v>804</v>
      </c>
      <c r="B28" s="606" t="s">
        <v>49</v>
      </c>
      <c r="C28" s="5">
        <v>2013</v>
      </c>
      <c r="D28" s="5" t="s">
        <v>1011</v>
      </c>
      <c r="E28" s="65" t="s">
        <v>12</v>
      </c>
      <c r="F28" s="66" t="s">
        <v>12</v>
      </c>
      <c r="G28" s="514" t="s">
        <v>50</v>
      </c>
      <c r="H28" s="14">
        <f>1182.025+540.2</f>
        <v>1722.2250000000001</v>
      </c>
      <c r="I28" s="14">
        <v>663.02</v>
      </c>
      <c r="J28" s="677">
        <v>0</v>
      </c>
      <c r="K28" s="181">
        <v>0</v>
      </c>
      <c r="L28" s="32">
        <v>0</v>
      </c>
      <c r="M28" s="247">
        <f>519.005+540.2</f>
        <v>1059.2049999999999</v>
      </c>
      <c r="N28" s="247">
        <v>0</v>
      </c>
      <c r="O28" s="15">
        <v>0</v>
      </c>
      <c r="P28" s="1747">
        <v>1059.2049999999999</v>
      </c>
      <c r="Q28" s="523">
        <v>0</v>
      </c>
      <c r="R28" s="1715">
        <f t="shared" si="5"/>
        <v>1059.2049999999999</v>
      </c>
      <c r="S28" s="16">
        <v>0</v>
      </c>
      <c r="T28" s="15">
        <v>0</v>
      </c>
      <c r="U28" s="15">
        <v>0</v>
      </c>
      <c r="V28" s="15">
        <v>0</v>
      </c>
      <c r="W28" s="53" t="s">
        <v>1494</v>
      </c>
      <c r="X28" s="139" t="s">
        <v>20</v>
      </c>
      <c r="Y28" s="271" t="s">
        <v>854</v>
      </c>
      <c r="Z28" s="195" t="s">
        <v>828</v>
      </c>
      <c r="AA28" s="195" t="s">
        <v>828</v>
      </c>
    </row>
    <row r="29" spans="1:27" ht="36.75" customHeight="1" x14ac:dyDescent="0.25">
      <c r="A29" s="85" t="s">
        <v>805</v>
      </c>
      <c r="B29" s="606" t="s">
        <v>51</v>
      </c>
      <c r="C29" s="5">
        <v>2018</v>
      </c>
      <c r="D29" s="5" t="s">
        <v>806</v>
      </c>
      <c r="E29" s="65" t="s">
        <v>12</v>
      </c>
      <c r="F29" s="152" t="s">
        <v>12</v>
      </c>
      <c r="G29" s="505" t="s">
        <v>52</v>
      </c>
      <c r="H29" s="14">
        <v>23232</v>
      </c>
      <c r="I29" s="14">
        <v>0</v>
      </c>
      <c r="J29" s="677">
        <v>15371.5375</v>
      </c>
      <c r="K29" s="181">
        <v>15371.5375</v>
      </c>
      <c r="L29" s="32">
        <v>0</v>
      </c>
      <c r="M29" s="247">
        <v>5445</v>
      </c>
      <c r="N29" s="247">
        <v>0</v>
      </c>
      <c r="O29" s="2">
        <v>0</v>
      </c>
      <c r="P29" s="1747">
        <v>5445</v>
      </c>
      <c r="Q29" s="523">
        <v>0</v>
      </c>
      <c r="R29" s="1715">
        <f t="shared" si="5"/>
        <v>5445</v>
      </c>
      <c r="S29" s="16">
        <v>0</v>
      </c>
      <c r="T29" s="15">
        <v>0</v>
      </c>
      <c r="U29" s="15">
        <f>2415+0.4625</f>
        <v>2415.4625000000001</v>
      </c>
      <c r="V29" s="15">
        <v>0</v>
      </c>
      <c r="W29" s="53" t="s">
        <v>1222</v>
      </c>
      <c r="X29" s="139" t="s">
        <v>46</v>
      </c>
      <c r="Y29" s="271" t="s">
        <v>1377</v>
      </c>
      <c r="Z29" s="104" t="s">
        <v>829</v>
      </c>
      <c r="AA29" s="195" t="s">
        <v>829</v>
      </c>
    </row>
    <row r="30" spans="1:27" s="506" customFormat="1" ht="33" customHeight="1" x14ac:dyDescent="0.25">
      <c r="A30" s="763" t="s">
        <v>807</v>
      </c>
      <c r="B30" s="1426" t="s">
        <v>53</v>
      </c>
      <c r="C30" s="553">
        <v>2018</v>
      </c>
      <c r="D30" s="553" t="s">
        <v>806</v>
      </c>
      <c r="E30" s="851" t="s">
        <v>12</v>
      </c>
      <c r="F30" s="1140" t="s">
        <v>12</v>
      </c>
      <c r="G30" s="903" t="s">
        <v>54</v>
      </c>
      <c r="H30" s="767">
        <f>25400-500</f>
        <v>24900</v>
      </c>
      <c r="I30" s="767">
        <v>0</v>
      </c>
      <c r="J30" s="767">
        <v>14405</v>
      </c>
      <c r="K30" s="853">
        <v>12844.05013</v>
      </c>
      <c r="L30" s="777">
        <f>14405-12844.05013</f>
        <v>1560.9498700000004</v>
      </c>
      <c r="M30" s="841">
        <v>0</v>
      </c>
      <c r="N30" s="841">
        <v>0</v>
      </c>
      <c r="O30" s="857">
        <v>0</v>
      </c>
      <c r="P30" s="770">
        <f>14405-12844.05013</f>
        <v>1560.9498700000004</v>
      </c>
      <c r="Q30" s="1144">
        <v>0</v>
      </c>
      <c r="R30" s="1466">
        <f t="shared" si="5"/>
        <v>1560.9498700000004</v>
      </c>
      <c r="S30" s="855">
        <v>0</v>
      </c>
      <c r="T30" s="857">
        <v>0</v>
      </c>
      <c r="U30" s="857">
        <v>10495</v>
      </c>
      <c r="V30" s="857">
        <v>0</v>
      </c>
      <c r="W30" s="435" t="s">
        <v>1592</v>
      </c>
      <c r="X30" s="919" t="s">
        <v>46</v>
      </c>
      <c r="Y30" s="961" t="s">
        <v>1512</v>
      </c>
      <c r="Z30" s="776" t="s">
        <v>829</v>
      </c>
      <c r="AA30" s="776" t="s">
        <v>829</v>
      </c>
    </row>
    <row r="31" spans="1:27" ht="28.5" customHeight="1" x14ac:dyDescent="0.25">
      <c r="A31" s="64" t="s">
        <v>808</v>
      </c>
      <c r="B31" s="606" t="s">
        <v>794</v>
      </c>
      <c r="C31" s="5">
        <v>2018</v>
      </c>
      <c r="D31" s="5" t="s">
        <v>806</v>
      </c>
      <c r="E31" s="65" t="s">
        <v>12</v>
      </c>
      <c r="F31" s="152" t="s">
        <v>12</v>
      </c>
      <c r="G31" s="505" t="s">
        <v>55</v>
      </c>
      <c r="H31" s="14">
        <v>700</v>
      </c>
      <c r="I31" s="14">
        <v>0</v>
      </c>
      <c r="J31" s="677">
        <v>0</v>
      </c>
      <c r="K31" s="181">
        <v>0</v>
      </c>
      <c r="L31" s="32">
        <v>0</v>
      </c>
      <c r="M31" s="247">
        <v>0</v>
      </c>
      <c r="N31" s="247">
        <v>0</v>
      </c>
      <c r="O31" s="15">
        <v>0</v>
      </c>
      <c r="P31" s="1747">
        <v>0</v>
      </c>
      <c r="Q31" s="523">
        <v>0</v>
      </c>
      <c r="R31" s="1715">
        <f t="shared" si="5"/>
        <v>0</v>
      </c>
      <c r="S31" s="16">
        <v>0</v>
      </c>
      <c r="T31" s="15">
        <v>0</v>
      </c>
      <c r="U31" s="15">
        <v>700</v>
      </c>
      <c r="V31" s="15">
        <v>0</v>
      </c>
      <c r="W31" s="53" t="s">
        <v>1513</v>
      </c>
      <c r="X31" s="139" t="s">
        <v>20</v>
      </c>
      <c r="Y31" s="271" t="s">
        <v>310</v>
      </c>
      <c r="Z31" s="195" t="s">
        <v>828</v>
      </c>
      <c r="AA31" s="195" t="s">
        <v>828</v>
      </c>
    </row>
    <row r="32" spans="1:27" s="489" customFormat="1" ht="28.5" customHeight="1" x14ac:dyDescent="0.25">
      <c r="A32" s="1135" t="s">
        <v>809</v>
      </c>
      <c r="B32" s="1427" t="s">
        <v>778</v>
      </c>
      <c r="C32" s="819">
        <v>2018</v>
      </c>
      <c r="D32" s="553" t="s">
        <v>806</v>
      </c>
      <c r="E32" s="820" t="s">
        <v>12</v>
      </c>
      <c r="F32" s="820" t="s">
        <v>12</v>
      </c>
      <c r="G32" s="903" t="s">
        <v>56</v>
      </c>
      <c r="H32" s="769">
        <v>2000</v>
      </c>
      <c r="I32" s="769">
        <v>0</v>
      </c>
      <c r="J32" s="767">
        <v>284.02099999999996</v>
      </c>
      <c r="K32" s="853">
        <v>229.63100000000003</v>
      </c>
      <c r="L32" s="777">
        <v>0</v>
      </c>
      <c r="M32" s="841">
        <v>0</v>
      </c>
      <c r="N32" s="841">
        <v>1770.3689999999999</v>
      </c>
      <c r="O32" s="857">
        <v>0</v>
      </c>
      <c r="P32" s="770">
        <f>1940.979-170.61</f>
        <v>1770.3690000000001</v>
      </c>
      <c r="Q32" s="1750">
        <v>0</v>
      </c>
      <c r="R32" s="1466">
        <f t="shared" si="5"/>
        <v>1770.3690000000001</v>
      </c>
      <c r="S32" s="855">
        <v>0</v>
      </c>
      <c r="T32" s="758">
        <v>0</v>
      </c>
      <c r="U32" s="758">
        <v>0</v>
      </c>
      <c r="V32" s="758">
        <v>0</v>
      </c>
      <c r="W32" s="1170" t="s">
        <v>1594</v>
      </c>
      <c r="X32" s="919" t="s">
        <v>46</v>
      </c>
      <c r="Y32" s="961" t="s">
        <v>310</v>
      </c>
      <c r="Z32" s="776" t="s">
        <v>791</v>
      </c>
      <c r="AA32" s="776" t="s">
        <v>829</v>
      </c>
    </row>
    <row r="33" spans="1:27" s="489" customFormat="1" ht="47.25" customHeight="1" x14ac:dyDescent="0.25">
      <c r="A33" s="849" t="s">
        <v>810</v>
      </c>
      <c r="B33" s="1427" t="s">
        <v>811</v>
      </c>
      <c r="C33" s="819">
        <v>2018</v>
      </c>
      <c r="D33" s="553" t="s">
        <v>806</v>
      </c>
      <c r="E33" s="820" t="s">
        <v>12</v>
      </c>
      <c r="F33" s="851" t="s">
        <v>12</v>
      </c>
      <c r="G33" s="903" t="s">
        <v>57</v>
      </c>
      <c r="H33" s="769">
        <v>3000</v>
      </c>
      <c r="I33" s="769">
        <v>0</v>
      </c>
      <c r="J33" s="767">
        <v>1000</v>
      </c>
      <c r="K33" s="853">
        <v>0</v>
      </c>
      <c r="L33" s="777">
        <v>1000</v>
      </c>
      <c r="M33" s="841">
        <v>0</v>
      </c>
      <c r="N33" s="841">
        <v>0</v>
      </c>
      <c r="O33" s="758">
        <v>2000</v>
      </c>
      <c r="P33" s="1751">
        <v>3000</v>
      </c>
      <c r="Q33" s="1752">
        <v>0</v>
      </c>
      <c r="R33" s="1466">
        <f t="shared" si="5"/>
        <v>3000</v>
      </c>
      <c r="S33" s="855">
        <v>0</v>
      </c>
      <c r="T33" s="773">
        <v>0</v>
      </c>
      <c r="U33" s="773">
        <v>0</v>
      </c>
      <c r="V33" s="773">
        <v>0</v>
      </c>
      <c r="W33" s="1170" t="s">
        <v>1595</v>
      </c>
      <c r="X33" s="919" t="s">
        <v>14</v>
      </c>
      <c r="Y33" s="961" t="s">
        <v>883</v>
      </c>
      <c r="Z33" s="776" t="s">
        <v>828</v>
      </c>
      <c r="AA33" s="776" t="s">
        <v>828</v>
      </c>
    </row>
    <row r="34" spans="1:27" s="467" customFormat="1" ht="26.25" thickBot="1" x14ac:dyDescent="0.3">
      <c r="A34" s="75" t="s">
        <v>812</v>
      </c>
      <c r="B34" s="196" t="s">
        <v>794</v>
      </c>
      <c r="C34" s="71">
        <v>2018</v>
      </c>
      <c r="D34" s="191" t="s">
        <v>806</v>
      </c>
      <c r="E34" s="72" t="s">
        <v>12</v>
      </c>
      <c r="F34" s="72" t="s">
        <v>12</v>
      </c>
      <c r="G34" s="640" t="s">
        <v>58</v>
      </c>
      <c r="H34" s="204">
        <v>0</v>
      </c>
      <c r="I34" s="1432">
        <v>0</v>
      </c>
      <c r="J34" s="1445">
        <v>0</v>
      </c>
      <c r="K34" s="649">
        <v>0</v>
      </c>
      <c r="L34" s="1521">
        <v>0</v>
      </c>
      <c r="M34" s="685">
        <v>0</v>
      </c>
      <c r="N34" s="685">
        <v>0</v>
      </c>
      <c r="O34" s="686">
        <v>0</v>
      </c>
      <c r="P34" s="1753">
        <v>0</v>
      </c>
      <c r="Q34" s="1754">
        <v>0</v>
      </c>
      <c r="R34" s="1720">
        <f t="shared" si="5"/>
        <v>0</v>
      </c>
      <c r="S34" s="684">
        <v>0</v>
      </c>
      <c r="T34" s="686">
        <v>0</v>
      </c>
      <c r="U34" s="206">
        <v>0</v>
      </c>
      <c r="V34" s="206">
        <v>0</v>
      </c>
      <c r="W34" s="519" t="s">
        <v>1514</v>
      </c>
      <c r="X34" s="641" t="s">
        <v>836</v>
      </c>
      <c r="Y34" s="688" t="s">
        <v>305</v>
      </c>
      <c r="Z34" s="687" t="s">
        <v>828</v>
      </c>
      <c r="AA34" s="687" t="s">
        <v>828</v>
      </c>
    </row>
    <row r="35" spans="1:27" s="464" customFormat="1" ht="43.5" customHeight="1" x14ac:dyDescent="0.25">
      <c r="A35" s="211" t="s">
        <v>813</v>
      </c>
      <c r="B35" s="737" t="s">
        <v>814</v>
      </c>
      <c r="C35" s="212">
        <v>2019</v>
      </c>
      <c r="D35" s="68" t="s">
        <v>801</v>
      </c>
      <c r="E35" s="738" t="s">
        <v>12</v>
      </c>
      <c r="F35" s="738" t="s">
        <v>12</v>
      </c>
      <c r="G35" s="739" t="s">
        <v>59</v>
      </c>
      <c r="H35" s="78">
        <f>350-22.695</f>
        <v>327.30500000000001</v>
      </c>
      <c r="I35" s="78">
        <v>0</v>
      </c>
      <c r="J35" s="1452">
        <v>327.30500000000001</v>
      </c>
      <c r="K35" s="648">
        <v>327.30500000000001</v>
      </c>
      <c r="L35" s="82">
        <v>0</v>
      </c>
      <c r="M35" s="740">
        <v>0</v>
      </c>
      <c r="N35" s="740">
        <v>0</v>
      </c>
      <c r="O35" s="39">
        <v>0</v>
      </c>
      <c r="P35" s="1749">
        <v>0</v>
      </c>
      <c r="Q35" s="1755">
        <v>0</v>
      </c>
      <c r="R35" s="1719">
        <f t="shared" si="5"/>
        <v>0</v>
      </c>
      <c r="S35" s="741">
        <v>0</v>
      </c>
      <c r="T35" s="742">
        <v>0</v>
      </c>
      <c r="U35" s="742">
        <v>0</v>
      </c>
      <c r="V35" s="742">
        <v>0</v>
      </c>
      <c r="W35" s="76" t="s">
        <v>1129</v>
      </c>
      <c r="X35" s="743" t="s">
        <v>866</v>
      </c>
      <c r="Y35" s="950" t="s">
        <v>305</v>
      </c>
      <c r="Z35" s="300" t="s">
        <v>829</v>
      </c>
      <c r="AA35" s="300" t="s">
        <v>829</v>
      </c>
    </row>
    <row r="36" spans="1:27" s="464" customFormat="1" ht="53.25" customHeight="1" x14ac:dyDescent="0.25">
      <c r="A36" s="136" t="s">
        <v>815</v>
      </c>
      <c r="B36" s="638" t="s">
        <v>957</v>
      </c>
      <c r="C36" s="68">
        <v>2019</v>
      </c>
      <c r="D36" s="68" t="s">
        <v>801</v>
      </c>
      <c r="E36" s="69" t="s">
        <v>12</v>
      </c>
      <c r="F36" s="69" t="s">
        <v>12</v>
      </c>
      <c r="G36" s="186" t="s">
        <v>60</v>
      </c>
      <c r="H36" s="361">
        <f>1000-540.2</f>
        <v>459.79999999999995</v>
      </c>
      <c r="I36" s="361">
        <v>0</v>
      </c>
      <c r="J36" s="1428">
        <v>459.79999999999995</v>
      </c>
      <c r="K36" s="648">
        <v>459.8</v>
      </c>
      <c r="L36" s="82">
        <v>0</v>
      </c>
      <c r="M36" s="255">
        <v>0</v>
      </c>
      <c r="N36" s="255">
        <v>0</v>
      </c>
      <c r="O36" s="39">
        <v>0</v>
      </c>
      <c r="P36" s="1756">
        <v>0</v>
      </c>
      <c r="Q36" s="1755">
        <v>0</v>
      </c>
      <c r="R36" s="1719">
        <f t="shared" si="5"/>
        <v>0</v>
      </c>
      <c r="S36" s="38">
        <v>0</v>
      </c>
      <c r="T36" s="39">
        <v>0</v>
      </c>
      <c r="U36" s="39">
        <v>0</v>
      </c>
      <c r="V36" s="39">
        <v>0</v>
      </c>
      <c r="W36" s="120" t="s">
        <v>61</v>
      </c>
      <c r="X36" s="141" t="s">
        <v>866</v>
      </c>
      <c r="Y36" s="322" t="s">
        <v>1378</v>
      </c>
      <c r="Z36" s="198" t="s">
        <v>829</v>
      </c>
      <c r="AA36" s="198" t="s">
        <v>829</v>
      </c>
    </row>
    <row r="37" spans="1:27" s="464" customFormat="1" ht="48.75" customHeight="1" x14ac:dyDescent="0.25">
      <c r="A37" s="728" t="s">
        <v>816</v>
      </c>
      <c r="B37" s="729" t="s">
        <v>817</v>
      </c>
      <c r="C37" s="461">
        <v>2019</v>
      </c>
      <c r="D37" s="461" t="s">
        <v>801</v>
      </c>
      <c r="E37" s="730" t="s">
        <v>12</v>
      </c>
      <c r="F37" s="534" t="s">
        <v>12</v>
      </c>
      <c r="G37" s="731" t="s">
        <v>62</v>
      </c>
      <c r="H37" s="462">
        <v>5432.9</v>
      </c>
      <c r="I37" s="462">
        <v>0</v>
      </c>
      <c r="J37" s="1439">
        <v>5500</v>
      </c>
      <c r="K37" s="585">
        <v>5432.9</v>
      </c>
      <c r="L37" s="795">
        <v>0</v>
      </c>
      <c r="M37" s="734">
        <v>0</v>
      </c>
      <c r="N37" s="734">
        <v>0</v>
      </c>
      <c r="O37" s="735">
        <v>0</v>
      </c>
      <c r="P37" s="1757">
        <f>5500-5432.9</f>
        <v>67.100000000000364</v>
      </c>
      <c r="Q37" s="1401">
        <f>P37*-1</f>
        <v>-67.100000000000364</v>
      </c>
      <c r="R37" s="1721">
        <f t="shared" si="5"/>
        <v>0</v>
      </c>
      <c r="S37" s="732">
        <v>0</v>
      </c>
      <c r="T37" s="735">
        <v>0</v>
      </c>
      <c r="U37" s="735">
        <v>0</v>
      </c>
      <c r="V37" s="735">
        <v>0</v>
      </c>
      <c r="W37" s="353" t="s">
        <v>1593</v>
      </c>
      <c r="X37" s="746" t="s">
        <v>866</v>
      </c>
      <c r="Y37" s="1023" t="s">
        <v>305</v>
      </c>
      <c r="Z37" s="747" t="s">
        <v>829</v>
      </c>
      <c r="AA37" s="747" t="s">
        <v>829</v>
      </c>
    </row>
    <row r="38" spans="1:27" s="464" customFormat="1" ht="41.25" customHeight="1" x14ac:dyDescent="0.25">
      <c r="A38" s="136" t="s">
        <v>818</v>
      </c>
      <c r="B38" s="638" t="s">
        <v>819</v>
      </c>
      <c r="C38" s="68">
        <v>2019</v>
      </c>
      <c r="D38" s="68" t="s">
        <v>801</v>
      </c>
      <c r="E38" s="69" t="s">
        <v>12</v>
      </c>
      <c r="F38" s="69" t="s">
        <v>12</v>
      </c>
      <c r="G38" s="186" t="s">
        <v>63</v>
      </c>
      <c r="H38" s="286">
        <v>1556.06</v>
      </c>
      <c r="I38" s="286">
        <v>0</v>
      </c>
      <c r="J38" s="1428">
        <v>1556.06</v>
      </c>
      <c r="K38" s="422">
        <v>1556.06</v>
      </c>
      <c r="L38" s="409">
        <v>0</v>
      </c>
      <c r="M38" s="336">
        <v>0</v>
      </c>
      <c r="N38" s="336">
        <v>0</v>
      </c>
      <c r="O38" s="413">
        <v>0</v>
      </c>
      <c r="P38" s="1749">
        <v>0</v>
      </c>
      <c r="Q38" s="587">
        <v>0</v>
      </c>
      <c r="R38" s="1722">
        <f t="shared" si="5"/>
        <v>0</v>
      </c>
      <c r="S38" s="288">
        <v>0</v>
      </c>
      <c r="T38" s="413">
        <v>0</v>
      </c>
      <c r="U38" s="413">
        <v>0</v>
      </c>
      <c r="V38" s="413">
        <v>0</v>
      </c>
      <c r="W38" s="290" t="s">
        <v>1515</v>
      </c>
      <c r="X38" s="689" t="s">
        <v>866</v>
      </c>
      <c r="Y38" s="1507" t="s">
        <v>25</v>
      </c>
      <c r="Z38" s="690" t="s">
        <v>829</v>
      </c>
      <c r="AA38" s="690" t="s">
        <v>829</v>
      </c>
    </row>
    <row r="39" spans="1:27" s="464" customFormat="1" ht="60" customHeight="1" thickBot="1" x14ac:dyDescent="0.3">
      <c r="A39" s="201" t="s">
        <v>820</v>
      </c>
      <c r="B39" s="639" t="s">
        <v>821</v>
      </c>
      <c r="C39" s="191">
        <v>2019</v>
      </c>
      <c r="D39" s="191" t="s">
        <v>801</v>
      </c>
      <c r="E39" s="377" t="s">
        <v>12</v>
      </c>
      <c r="F39" s="377" t="s">
        <v>12</v>
      </c>
      <c r="G39" s="640" t="s">
        <v>64</v>
      </c>
      <c r="H39" s="204">
        <f>840-29.421</f>
        <v>810.57899999999995</v>
      </c>
      <c r="I39" s="204">
        <v>0</v>
      </c>
      <c r="J39" s="1445">
        <v>810.57899999999995</v>
      </c>
      <c r="K39" s="649">
        <v>810.57899999999995</v>
      </c>
      <c r="L39" s="484">
        <v>0</v>
      </c>
      <c r="M39" s="379">
        <v>0</v>
      </c>
      <c r="N39" s="379">
        <v>0</v>
      </c>
      <c r="O39" s="206">
        <v>0</v>
      </c>
      <c r="P39" s="1753">
        <v>0</v>
      </c>
      <c r="Q39" s="1754">
        <v>0</v>
      </c>
      <c r="R39" s="1720">
        <f t="shared" si="5"/>
        <v>0</v>
      </c>
      <c r="S39" s="205">
        <v>0</v>
      </c>
      <c r="T39" s="206">
        <v>0</v>
      </c>
      <c r="U39" s="206">
        <v>0</v>
      </c>
      <c r="V39" s="206">
        <v>0</v>
      </c>
      <c r="W39" s="519" t="s">
        <v>1495</v>
      </c>
      <c r="X39" s="641" t="s">
        <v>866</v>
      </c>
      <c r="Y39" s="449" t="s">
        <v>563</v>
      </c>
      <c r="Z39" s="448" t="s">
        <v>829</v>
      </c>
      <c r="AA39" s="448" t="s">
        <v>829</v>
      </c>
    </row>
    <row r="40" spans="1:27" ht="46.5" customHeight="1" thickBot="1" x14ac:dyDescent="0.3">
      <c r="A40" s="175" t="s">
        <v>822</v>
      </c>
      <c r="B40" s="221" t="s">
        <v>823</v>
      </c>
      <c r="C40" s="56">
        <v>2019</v>
      </c>
      <c r="D40" s="133" t="s">
        <v>922</v>
      </c>
      <c r="E40" s="91" t="s">
        <v>12</v>
      </c>
      <c r="F40" s="91" t="s">
        <v>12</v>
      </c>
      <c r="G40" s="592" t="s">
        <v>824</v>
      </c>
      <c r="H40" s="691">
        <v>1800</v>
      </c>
      <c r="I40" s="691">
        <v>0</v>
      </c>
      <c r="J40" s="96">
        <v>0</v>
      </c>
      <c r="K40" s="226">
        <v>0</v>
      </c>
      <c r="L40" s="1522">
        <v>0</v>
      </c>
      <c r="M40" s="693">
        <v>0</v>
      </c>
      <c r="N40" s="693">
        <v>0</v>
      </c>
      <c r="O40" s="694">
        <v>0</v>
      </c>
      <c r="P40" s="1758">
        <v>0</v>
      </c>
      <c r="Q40" s="1759">
        <v>0</v>
      </c>
      <c r="R40" s="1723">
        <f t="shared" si="5"/>
        <v>0</v>
      </c>
      <c r="S40" s="692">
        <v>0</v>
      </c>
      <c r="T40" s="694">
        <v>0</v>
      </c>
      <c r="U40" s="694">
        <v>1800</v>
      </c>
      <c r="V40" s="694">
        <v>0</v>
      </c>
      <c r="W40" s="695" t="s">
        <v>825</v>
      </c>
      <c r="X40" s="696" t="s">
        <v>20</v>
      </c>
      <c r="Y40" s="697" t="s">
        <v>854</v>
      </c>
      <c r="Z40" s="698" t="s">
        <v>828</v>
      </c>
      <c r="AA40" s="698" t="s">
        <v>828</v>
      </c>
    </row>
    <row r="41" spans="1:27" ht="34.5" customHeight="1" x14ac:dyDescent="0.25">
      <c r="A41" s="61" t="s">
        <v>1379</v>
      </c>
      <c r="B41" s="609" t="s">
        <v>794</v>
      </c>
      <c r="C41" s="4">
        <v>2019</v>
      </c>
      <c r="D41" s="5" t="s">
        <v>1843</v>
      </c>
      <c r="E41" s="62" t="s">
        <v>12</v>
      </c>
      <c r="F41" s="62" t="s">
        <v>12</v>
      </c>
      <c r="G41" s="605" t="s">
        <v>1380</v>
      </c>
      <c r="H41" s="1">
        <v>2500</v>
      </c>
      <c r="I41" s="1">
        <v>0</v>
      </c>
      <c r="J41" s="1405">
        <v>0</v>
      </c>
      <c r="K41" s="246">
        <v>0</v>
      </c>
      <c r="L41" s="40">
        <v>0</v>
      </c>
      <c r="M41" s="420">
        <v>0</v>
      </c>
      <c r="N41" s="420">
        <v>0</v>
      </c>
      <c r="O41" s="2">
        <v>0</v>
      </c>
      <c r="P41" s="1742">
        <v>0</v>
      </c>
      <c r="Q41" s="652">
        <v>0</v>
      </c>
      <c r="R41" s="1715">
        <f t="shared" si="5"/>
        <v>0</v>
      </c>
      <c r="S41" s="3">
        <v>0</v>
      </c>
      <c r="T41" s="2">
        <v>0</v>
      </c>
      <c r="U41" s="2">
        <v>2500</v>
      </c>
      <c r="V41" s="2">
        <v>0</v>
      </c>
      <c r="W41" s="121" t="s">
        <v>1381</v>
      </c>
      <c r="X41" s="142" t="s">
        <v>20</v>
      </c>
      <c r="Y41" s="635" t="s">
        <v>881</v>
      </c>
      <c r="Z41" s="4" t="s">
        <v>828</v>
      </c>
      <c r="AA41" s="4" t="s">
        <v>828</v>
      </c>
    </row>
    <row r="42" spans="1:27" ht="39" customHeight="1" thickBot="1" x14ac:dyDescent="0.3">
      <c r="A42" s="869" t="s">
        <v>1382</v>
      </c>
      <c r="B42" s="1429" t="s">
        <v>794</v>
      </c>
      <c r="C42" s="871">
        <v>2019</v>
      </c>
      <c r="D42" s="871" t="s">
        <v>1843</v>
      </c>
      <c r="E42" s="872" t="s">
        <v>12</v>
      </c>
      <c r="F42" s="872" t="s">
        <v>12</v>
      </c>
      <c r="G42" s="1430" t="s">
        <v>1383</v>
      </c>
      <c r="H42" s="874">
        <v>2000</v>
      </c>
      <c r="I42" s="874">
        <v>0</v>
      </c>
      <c r="J42" s="874">
        <v>0</v>
      </c>
      <c r="K42" s="1209">
        <v>0</v>
      </c>
      <c r="L42" s="1158">
        <v>0</v>
      </c>
      <c r="M42" s="878">
        <v>0</v>
      </c>
      <c r="N42" s="878">
        <v>0</v>
      </c>
      <c r="O42" s="879">
        <v>0</v>
      </c>
      <c r="P42" s="876">
        <v>2000</v>
      </c>
      <c r="Q42" s="1159">
        <v>-2000</v>
      </c>
      <c r="R42" s="1724">
        <f t="shared" si="5"/>
        <v>0</v>
      </c>
      <c r="S42" s="880">
        <v>0</v>
      </c>
      <c r="T42" s="879">
        <v>0</v>
      </c>
      <c r="U42" s="879">
        <v>2000</v>
      </c>
      <c r="V42" s="879">
        <v>0</v>
      </c>
      <c r="W42" s="1207" t="s">
        <v>1948</v>
      </c>
      <c r="X42" s="1155" t="s">
        <v>20</v>
      </c>
      <c r="Y42" s="1110" t="s">
        <v>977</v>
      </c>
      <c r="Z42" s="1109" t="s">
        <v>828</v>
      </c>
      <c r="AA42" s="1109" t="s">
        <v>828</v>
      </c>
    </row>
    <row r="43" spans="1:27" ht="46.5" customHeight="1" x14ac:dyDescent="0.25">
      <c r="A43" s="699" t="s">
        <v>1516</v>
      </c>
      <c r="B43" s="700" t="s">
        <v>794</v>
      </c>
      <c r="C43" s="430">
        <v>2020</v>
      </c>
      <c r="D43" s="430" t="s">
        <v>776</v>
      </c>
      <c r="E43" s="1447" t="s">
        <v>12</v>
      </c>
      <c r="F43" s="1448" t="s">
        <v>12</v>
      </c>
      <c r="G43" s="701" t="s">
        <v>1517</v>
      </c>
      <c r="H43" s="508">
        <v>18200</v>
      </c>
      <c r="I43" s="1431">
        <v>0</v>
      </c>
      <c r="J43" s="469">
        <v>0</v>
      </c>
      <c r="K43" s="457">
        <v>0</v>
      </c>
      <c r="L43" s="1523">
        <v>0</v>
      </c>
      <c r="M43" s="704">
        <v>0</v>
      </c>
      <c r="N43" s="704">
        <v>18200</v>
      </c>
      <c r="O43" s="705">
        <v>0</v>
      </c>
      <c r="P43" s="1760">
        <v>0</v>
      </c>
      <c r="Q43" s="1761">
        <v>18200</v>
      </c>
      <c r="R43" s="1725">
        <f t="shared" si="5"/>
        <v>18200</v>
      </c>
      <c r="S43" s="702">
        <v>0</v>
      </c>
      <c r="T43" s="705">
        <v>0</v>
      </c>
      <c r="U43" s="705">
        <v>0</v>
      </c>
      <c r="V43" s="705">
        <v>0</v>
      </c>
      <c r="W43" s="436" t="s">
        <v>1518</v>
      </c>
      <c r="X43" s="706" t="s">
        <v>20</v>
      </c>
      <c r="Y43" s="1095" t="s">
        <v>925</v>
      </c>
      <c r="Z43" s="436" t="s">
        <v>828</v>
      </c>
      <c r="AA43" s="436" t="s">
        <v>828</v>
      </c>
    </row>
    <row r="44" spans="1:27" ht="46.5" customHeight="1" x14ac:dyDescent="0.25">
      <c r="A44" s="708" t="s">
        <v>1519</v>
      </c>
      <c r="B44" s="709" t="s">
        <v>794</v>
      </c>
      <c r="C44" s="436">
        <v>2020</v>
      </c>
      <c r="D44" s="436" t="s">
        <v>776</v>
      </c>
      <c r="E44" s="1449" t="s">
        <v>12</v>
      </c>
      <c r="F44" s="1217" t="s">
        <v>12</v>
      </c>
      <c r="G44" s="710" t="s">
        <v>1520</v>
      </c>
      <c r="H44" s="458">
        <v>8000</v>
      </c>
      <c r="I44" s="458">
        <v>0</v>
      </c>
      <c r="J44" s="458">
        <v>0</v>
      </c>
      <c r="K44" s="459">
        <v>0</v>
      </c>
      <c r="L44" s="1486">
        <v>0</v>
      </c>
      <c r="M44" s="711">
        <v>0</v>
      </c>
      <c r="N44" s="711">
        <v>8000</v>
      </c>
      <c r="O44" s="712">
        <v>0</v>
      </c>
      <c r="P44" s="1762">
        <v>0</v>
      </c>
      <c r="Q44" s="1620">
        <v>8000</v>
      </c>
      <c r="R44" s="1620">
        <f t="shared" si="5"/>
        <v>8000</v>
      </c>
      <c r="S44" s="683">
        <v>0</v>
      </c>
      <c r="T44" s="712">
        <v>0</v>
      </c>
      <c r="U44" s="712">
        <v>0</v>
      </c>
      <c r="V44" s="712">
        <v>0</v>
      </c>
      <c r="W44" s="357" t="s">
        <v>1521</v>
      </c>
      <c r="X44" s="529" t="s">
        <v>20</v>
      </c>
      <c r="Y44" s="1080" t="s">
        <v>925</v>
      </c>
      <c r="Z44" s="713" t="s">
        <v>828</v>
      </c>
      <c r="AA44" s="713" t="s">
        <v>828</v>
      </c>
    </row>
    <row r="45" spans="1:27" ht="18" customHeight="1" thickBot="1" x14ac:dyDescent="0.3">
      <c r="A45" s="175"/>
      <c r="B45" s="221"/>
      <c r="C45" s="56"/>
      <c r="D45" s="56"/>
      <c r="E45" s="496"/>
      <c r="F45" s="91"/>
      <c r="G45" s="222"/>
      <c r="H45" s="178"/>
      <c r="I45" s="178"/>
      <c r="J45" s="326"/>
      <c r="K45" s="226"/>
      <c r="L45" s="575"/>
      <c r="M45" s="388"/>
      <c r="N45" s="388"/>
      <c r="O45" s="8"/>
      <c r="P45" s="1742"/>
      <c r="Q45" s="652"/>
      <c r="R45" s="1715"/>
      <c r="S45" s="7"/>
      <c r="T45" s="8"/>
      <c r="U45" s="8"/>
      <c r="V45" s="8"/>
      <c r="W45" s="192"/>
      <c r="X45" s="177"/>
      <c r="Y45" s="1508"/>
      <c r="Z45" s="351"/>
      <c r="AA45" s="351"/>
    </row>
    <row r="46" spans="1:27" ht="35.25" customHeight="1" thickBot="1" x14ac:dyDescent="0.3">
      <c r="A46" s="1496" t="s">
        <v>776</v>
      </c>
      <c r="B46" s="1497" t="s">
        <v>776</v>
      </c>
      <c r="C46" s="151" t="s">
        <v>776</v>
      </c>
      <c r="D46" s="112" t="s">
        <v>776</v>
      </c>
      <c r="E46" s="682" t="s">
        <v>776</v>
      </c>
      <c r="F46" s="112" t="s">
        <v>776</v>
      </c>
      <c r="G46" s="498" t="s">
        <v>906</v>
      </c>
      <c r="H46" s="96">
        <f t="shared" ref="H46:V46" si="6">SUM(H26:H45)</f>
        <v>117186.10361999998</v>
      </c>
      <c r="I46" s="96">
        <f t="shared" si="6"/>
        <v>17155.478420000003</v>
      </c>
      <c r="J46" s="96">
        <f>SUM(J26:J45)</f>
        <v>40665.556100000002</v>
      </c>
      <c r="K46" s="1406">
        <v>37983.116229999992</v>
      </c>
      <c r="L46" s="364">
        <f t="shared" si="6"/>
        <v>3660.9498700000004</v>
      </c>
      <c r="M46" s="364">
        <f t="shared" si="6"/>
        <v>6504.2049999999999</v>
      </c>
      <c r="N46" s="364">
        <f t="shared" si="6"/>
        <v>29971.891599999999</v>
      </c>
      <c r="O46" s="96">
        <f t="shared" si="6"/>
        <v>2000</v>
      </c>
      <c r="P46" s="1406">
        <f t="shared" si="6"/>
        <v>18004.14647</v>
      </c>
      <c r="Q46" s="364">
        <f t="shared" si="6"/>
        <v>24132.9</v>
      </c>
      <c r="R46" s="364">
        <f t="shared" si="6"/>
        <v>42137.046470000001</v>
      </c>
      <c r="S46" s="364">
        <f t="shared" si="6"/>
        <v>0</v>
      </c>
      <c r="T46" s="364">
        <f t="shared" si="6"/>
        <v>0</v>
      </c>
      <c r="U46" s="364">
        <f t="shared" si="6"/>
        <v>19910.462500000001</v>
      </c>
      <c r="V46" s="96">
        <f t="shared" si="6"/>
        <v>0</v>
      </c>
      <c r="W46" s="128" t="s">
        <v>1857</v>
      </c>
      <c r="X46" s="97" t="s">
        <v>776</v>
      </c>
      <c r="Y46" s="319" t="s">
        <v>776</v>
      </c>
      <c r="Z46" s="97" t="s">
        <v>776</v>
      </c>
      <c r="AA46" s="97" t="s">
        <v>776</v>
      </c>
    </row>
    <row r="47" spans="1:27" s="470" customFormat="1" ht="28.5" customHeight="1" x14ac:dyDescent="0.25">
      <c r="A47" s="1148" t="s">
        <v>65</v>
      </c>
      <c r="B47" s="1708" t="s">
        <v>66</v>
      </c>
      <c r="C47" s="760">
        <v>2013</v>
      </c>
      <c r="D47" s="760" t="s">
        <v>1011</v>
      </c>
      <c r="E47" s="760" t="s">
        <v>12</v>
      </c>
      <c r="F47" s="1710" t="s">
        <v>12</v>
      </c>
      <c r="G47" s="1711" t="s">
        <v>67</v>
      </c>
      <c r="H47" s="754">
        <f>219905+250000</f>
        <v>469905</v>
      </c>
      <c r="I47" s="754">
        <v>51692.259690000006</v>
      </c>
      <c r="J47" s="754">
        <v>168212.74030999999</v>
      </c>
      <c r="K47" s="1499">
        <v>80101.772999999986</v>
      </c>
      <c r="L47" s="1572">
        <v>30000</v>
      </c>
      <c r="M47" s="1709">
        <v>50000</v>
      </c>
      <c r="N47" s="886">
        <v>50000</v>
      </c>
      <c r="O47" s="757">
        <f>R47-L47-M47-N47</f>
        <v>49110.967309999978</v>
      </c>
      <c r="P47" s="915">
        <f>309720.06331-21609.096</f>
        <v>288110.96730999998</v>
      </c>
      <c r="Q47" s="1763">
        <v>-109000</v>
      </c>
      <c r="R47" s="1716">
        <f t="shared" ref="R47:R110" si="7">P47+Q47</f>
        <v>179110.96730999998</v>
      </c>
      <c r="S47" s="1138">
        <v>0</v>
      </c>
      <c r="T47" s="1488">
        <v>0</v>
      </c>
      <c r="U47" s="753">
        <v>159000</v>
      </c>
      <c r="V47" s="1138">
        <v>0</v>
      </c>
      <c r="W47" s="760" t="s">
        <v>1950</v>
      </c>
      <c r="X47" s="760" t="s">
        <v>46</v>
      </c>
      <c r="Y47" s="762" t="s">
        <v>791</v>
      </c>
      <c r="Z47" s="761" t="s">
        <v>826</v>
      </c>
      <c r="AA47" s="761" t="s">
        <v>829</v>
      </c>
    </row>
    <row r="48" spans="1:27" s="470" customFormat="1" ht="45" x14ac:dyDescent="0.25">
      <c r="A48" s="849" t="s">
        <v>69</v>
      </c>
      <c r="B48" s="850" t="s">
        <v>70</v>
      </c>
      <c r="C48" s="553">
        <v>2006</v>
      </c>
      <c r="D48" s="553" t="s">
        <v>1010</v>
      </c>
      <c r="E48" s="553" t="s">
        <v>12</v>
      </c>
      <c r="F48" s="802" t="s">
        <v>12</v>
      </c>
      <c r="G48" s="1284" t="s">
        <v>71</v>
      </c>
      <c r="H48" s="767">
        <f>393116.17+102000+10000</f>
        <v>505116.17</v>
      </c>
      <c r="I48" s="767">
        <v>285509.49667999998</v>
      </c>
      <c r="J48" s="767">
        <v>94606.673320000002</v>
      </c>
      <c r="K48" s="853">
        <v>50834.435949999999</v>
      </c>
      <c r="L48" s="1524">
        <v>20000</v>
      </c>
      <c r="M48" s="756">
        <v>20000</v>
      </c>
      <c r="N48" s="841">
        <v>20000</v>
      </c>
      <c r="O48" s="857">
        <f>R48-L48-M48-N48</f>
        <v>13772.237370000017</v>
      </c>
      <c r="P48" s="770">
        <f>136538.81872-12766.58135</f>
        <v>123772.23737000002</v>
      </c>
      <c r="Q48" s="1612">
        <v>-50000</v>
      </c>
      <c r="R48" s="1145">
        <f t="shared" si="7"/>
        <v>73772.237370000017</v>
      </c>
      <c r="S48" s="855">
        <v>0</v>
      </c>
      <c r="T48" s="857">
        <v>0</v>
      </c>
      <c r="U48" s="777">
        <v>95000</v>
      </c>
      <c r="V48" s="855">
        <v>0</v>
      </c>
      <c r="W48" s="435" t="s">
        <v>1951</v>
      </c>
      <c r="X48" s="553" t="s">
        <v>46</v>
      </c>
      <c r="Y48" s="775" t="s">
        <v>791</v>
      </c>
      <c r="Z48" s="774" t="s">
        <v>826</v>
      </c>
      <c r="AA48" s="776" t="s">
        <v>829</v>
      </c>
    </row>
    <row r="49" spans="1:27" ht="38.25" x14ac:dyDescent="0.25">
      <c r="A49" s="73" t="s">
        <v>72</v>
      </c>
      <c r="B49" s="94" t="s">
        <v>73</v>
      </c>
      <c r="C49" s="5">
        <v>2017</v>
      </c>
      <c r="D49" s="5" t="s">
        <v>827</v>
      </c>
      <c r="E49" s="5" t="s">
        <v>68</v>
      </c>
      <c r="F49" s="511" t="s">
        <v>12</v>
      </c>
      <c r="G49" s="512" t="s">
        <v>775</v>
      </c>
      <c r="H49" s="14">
        <v>12000</v>
      </c>
      <c r="I49" s="14">
        <v>5903.2</v>
      </c>
      <c r="J49" s="677">
        <v>0</v>
      </c>
      <c r="K49" s="246">
        <v>0</v>
      </c>
      <c r="L49" s="1525">
        <v>0</v>
      </c>
      <c r="M49" s="26">
        <v>6096.8</v>
      </c>
      <c r="N49" s="654">
        <v>0</v>
      </c>
      <c r="O49" s="23">
        <v>0</v>
      </c>
      <c r="P49" s="1764">
        <v>6096.8</v>
      </c>
      <c r="Q49" s="1765">
        <v>0</v>
      </c>
      <c r="R49" s="1715">
        <f t="shared" si="7"/>
        <v>6096.8</v>
      </c>
      <c r="S49" s="24">
        <v>0</v>
      </c>
      <c r="T49" s="23">
        <v>0</v>
      </c>
      <c r="U49" s="28">
        <v>0</v>
      </c>
      <c r="V49" s="24">
        <v>0</v>
      </c>
      <c r="W49" s="53" t="s">
        <v>776</v>
      </c>
      <c r="X49" s="5" t="s">
        <v>20</v>
      </c>
      <c r="Y49" s="232" t="s">
        <v>977</v>
      </c>
      <c r="Z49" s="104" t="s">
        <v>828</v>
      </c>
      <c r="AA49" s="104" t="s">
        <v>828</v>
      </c>
    </row>
    <row r="50" spans="1:27" s="464" customFormat="1" ht="30" x14ac:dyDescent="0.25">
      <c r="A50" s="75" t="s">
        <v>74</v>
      </c>
      <c r="B50" s="119" t="s">
        <v>75</v>
      </c>
      <c r="C50" s="68">
        <v>2017</v>
      </c>
      <c r="D50" s="68" t="s">
        <v>996</v>
      </c>
      <c r="E50" s="68" t="s">
        <v>76</v>
      </c>
      <c r="F50" s="80" t="s">
        <v>76</v>
      </c>
      <c r="G50" s="197" t="s">
        <v>77</v>
      </c>
      <c r="H50" s="19">
        <f>36865-0.16175</f>
        <v>36864.838250000001</v>
      </c>
      <c r="I50" s="19">
        <v>36800.442049999998</v>
      </c>
      <c r="J50" s="1428">
        <v>64.396200000002153</v>
      </c>
      <c r="K50" s="648">
        <v>64.396199999999993</v>
      </c>
      <c r="L50" s="335">
        <v>0</v>
      </c>
      <c r="M50" s="37">
        <v>0</v>
      </c>
      <c r="N50" s="655">
        <v>0</v>
      </c>
      <c r="O50" s="17">
        <v>0</v>
      </c>
      <c r="P50" s="1766">
        <v>0</v>
      </c>
      <c r="Q50" s="1767">
        <v>0</v>
      </c>
      <c r="R50" s="1719">
        <f t="shared" si="7"/>
        <v>0</v>
      </c>
      <c r="S50" s="18">
        <v>0</v>
      </c>
      <c r="T50" s="17">
        <v>0</v>
      </c>
      <c r="U50" s="36">
        <v>0</v>
      </c>
      <c r="V50" s="18">
        <v>0</v>
      </c>
      <c r="W50" s="68" t="s">
        <v>776</v>
      </c>
      <c r="X50" s="68" t="s">
        <v>866</v>
      </c>
      <c r="Y50" s="257" t="s">
        <v>563</v>
      </c>
      <c r="Z50" s="67" t="s">
        <v>829</v>
      </c>
      <c r="AA50" s="198" t="s">
        <v>829</v>
      </c>
    </row>
    <row r="51" spans="1:27" s="489" customFormat="1" ht="27.75" customHeight="1" x14ac:dyDescent="0.25">
      <c r="A51" s="763" t="s">
        <v>78</v>
      </c>
      <c r="B51" s="764" t="s">
        <v>79</v>
      </c>
      <c r="C51" s="553">
        <v>2017</v>
      </c>
      <c r="D51" s="553" t="s">
        <v>1009</v>
      </c>
      <c r="E51" s="553" t="s">
        <v>80</v>
      </c>
      <c r="F51" s="765" t="s">
        <v>80</v>
      </c>
      <c r="G51" s="766" t="s">
        <v>81</v>
      </c>
      <c r="H51" s="767">
        <v>3212.72</v>
      </c>
      <c r="I51" s="767">
        <v>1112.2756000000002</v>
      </c>
      <c r="J51" s="767">
        <v>1700.4443999999994</v>
      </c>
      <c r="K51" s="862">
        <f>1534.28+91.96</f>
        <v>1626.24</v>
      </c>
      <c r="L51" s="1524">
        <v>0</v>
      </c>
      <c r="M51" s="756">
        <f>400-91.96</f>
        <v>308.04000000000002</v>
      </c>
      <c r="N51" s="771">
        <v>0</v>
      </c>
      <c r="O51" s="773">
        <v>166.1644</v>
      </c>
      <c r="P51" s="1751">
        <f>566.1644-91.96</f>
        <v>474.20440000000002</v>
      </c>
      <c r="Q51" s="1768">
        <v>0</v>
      </c>
      <c r="R51" s="1466">
        <f t="shared" si="7"/>
        <v>474.20440000000002</v>
      </c>
      <c r="S51" s="759">
        <v>0</v>
      </c>
      <c r="T51" s="773">
        <v>0</v>
      </c>
      <c r="U51" s="772">
        <v>0</v>
      </c>
      <c r="V51" s="759">
        <v>0</v>
      </c>
      <c r="W51" s="553" t="s">
        <v>1858</v>
      </c>
      <c r="X51" s="553" t="s">
        <v>46</v>
      </c>
      <c r="Y51" s="775" t="s">
        <v>880</v>
      </c>
      <c r="Z51" s="774" t="s">
        <v>829</v>
      </c>
      <c r="AA51" s="776" t="s">
        <v>829</v>
      </c>
    </row>
    <row r="52" spans="1:27" s="470" customFormat="1" ht="27.75" customHeight="1" x14ac:dyDescent="0.25">
      <c r="A52" s="779" t="s">
        <v>82</v>
      </c>
      <c r="B52" s="780" t="s">
        <v>83</v>
      </c>
      <c r="C52" s="580">
        <v>2017</v>
      </c>
      <c r="D52" s="580" t="s">
        <v>1009</v>
      </c>
      <c r="E52" s="580" t="s">
        <v>80</v>
      </c>
      <c r="F52" s="781" t="s">
        <v>80</v>
      </c>
      <c r="G52" s="782" t="s">
        <v>84</v>
      </c>
      <c r="H52" s="783">
        <v>2800</v>
      </c>
      <c r="I52" s="783">
        <v>962.71900000000005</v>
      </c>
      <c r="J52" s="783">
        <v>700.28099999999995</v>
      </c>
      <c r="K52" s="1435">
        <v>480.93999000000002</v>
      </c>
      <c r="L52" s="1526">
        <v>0</v>
      </c>
      <c r="M52" s="786">
        <v>756.34100999999998</v>
      </c>
      <c r="N52" s="787">
        <v>600</v>
      </c>
      <c r="O52" s="788">
        <v>0</v>
      </c>
      <c r="P52" s="1769">
        <f>1237.281-480.93999</f>
        <v>756.34100999999987</v>
      </c>
      <c r="Q52" s="1770">
        <v>600</v>
      </c>
      <c r="R52" s="1726">
        <f t="shared" si="7"/>
        <v>1356.3410099999999</v>
      </c>
      <c r="S52" s="789">
        <v>0</v>
      </c>
      <c r="T52" s="788">
        <v>0</v>
      </c>
      <c r="U52" s="790">
        <v>0</v>
      </c>
      <c r="V52" s="789">
        <v>0</v>
      </c>
      <c r="W52" s="580" t="s">
        <v>1596</v>
      </c>
      <c r="X52" s="580" t="s">
        <v>14</v>
      </c>
      <c r="Y52" s="792" t="s">
        <v>880</v>
      </c>
      <c r="Z52" s="791" t="s">
        <v>828</v>
      </c>
      <c r="AA52" s="791" t="s">
        <v>829</v>
      </c>
    </row>
    <row r="53" spans="1:27" s="464" customFormat="1" ht="27.75" customHeight="1" x14ac:dyDescent="0.25">
      <c r="A53" s="532" t="s">
        <v>85</v>
      </c>
      <c r="B53" s="793" t="s">
        <v>86</v>
      </c>
      <c r="C53" s="461">
        <v>2017</v>
      </c>
      <c r="D53" s="730" t="s">
        <v>995</v>
      </c>
      <c r="E53" s="461" t="s">
        <v>76</v>
      </c>
      <c r="F53" s="535" t="s">
        <v>76</v>
      </c>
      <c r="G53" s="794" t="s">
        <v>87</v>
      </c>
      <c r="H53" s="462">
        <f>50500-284.94582</f>
        <v>50215.054179999999</v>
      </c>
      <c r="I53" s="462">
        <v>49743.145620000003</v>
      </c>
      <c r="J53" s="1439">
        <v>756.85437999999999</v>
      </c>
      <c r="K53" s="1174">
        <v>471.90856000000002</v>
      </c>
      <c r="L53" s="1527">
        <v>0</v>
      </c>
      <c r="M53" s="733">
        <v>0</v>
      </c>
      <c r="N53" s="797">
        <v>0</v>
      </c>
      <c r="O53" s="540">
        <v>0</v>
      </c>
      <c r="P53" s="1771">
        <v>284.94582000000003</v>
      </c>
      <c r="Q53" s="1772">
        <v>-284.94582000000003</v>
      </c>
      <c r="R53" s="1721">
        <f t="shared" si="7"/>
        <v>0</v>
      </c>
      <c r="S53" s="539">
        <v>0</v>
      </c>
      <c r="T53" s="540">
        <v>0</v>
      </c>
      <c r="U53" s="796">
        <v>0</v>
      </c>
      <c r="V53" s="732">
        <v>0</v>
      </c>
      <c r="W53" s="355" t="s">
        <v>1597</v>
      </c>
      <c r="X53" s="461" t="s">
        <v>866</v>
      </c>
      <c r="Y53" s="799" t="s">
        <v>25</v>
      </c>
      <c r="Z53" s="798" t="s">
        <v>829</v>
      </c>
      <c r="AA53" s="798" t="s">
        <v>829</v>
      </c>
    </row>
    <row r="54" spans="1:27" s="464" customFormat="1" ht="32.25" customHeight="1" x14ac:dyDescent="0.25">
      <c r="A54" s="728" t="s">
        <v>88</v>
      </c>
      <c r="B54" s="533" t="s">
        <v>89</v>
      </c>
      <c r="C54" s="461">
        <v>2017</v>
      </c>
      <c r="D54" s="730" t="s">
        <v>995</v>
      </c>
      <c r="E54" s="461" t="s">
        <v>76</v>
      </c>
      <c r="F54" s="800" t="s">
        <v>76</v>
      </c>
      <c r="G54" s="801" t="s">
        <v>90</v>
      </c>
      <c r="H54" s="462">
        <f>19635-1148.24791</f>
        <v>18486.752090000002</v>
      </c>
      <c r="I54" s="462">
        <v>17226.34463</v>
      </c>
      <c r="J54" s="1439">
        <v>2408.655369999999</v>
      </c>
      <c r="K54" s="1174">
        <v>1260.4074599999999</v>
      </c>
      <c r="L54" s="1527">
        <v>0</v>
      </c>
      <c r="M54" s="733">
        <v>0</v>
      </c>
      <c r="N54" s="734">
        <v>0</v>
      </c>
      <c r="O54" s="735">
        <v>0</v>
      </c>
      <c r="P54" s="1757">
        <v>1148.24791</v>
      </c>
      <c r="Q54" s="1402">
        <v>-1148.24791</v>
      </c>
      <c r="R54" s="1721">
        <f t="shared" si="7"/>
        <v>0</v>
      </c>
      <c r="S54" s="539">
        <v>0</v>
      </c>
      <c r="T54" s="735">
        <v>0</v>
      </c>
      <c r="U54" s="795">
        <v>0</v>
      </c>
      <c r="V54" s="732">
        <v>0</v>
      </c>
      <c r="W54" s="463" t="s">
        <v>1598</v>
      </c>
      <c r="X54" s="461" t="s">
        <v>866</v>
      </c>
      <c r="Y54" s="799" t="s">
        <v>562</v>
      </c>
      <c r="Z54" s="798" t="s">
        <v>829</v>
      </c>
      <c r="AA54" s="798" t="s">
        <v>829</v>
      </c>
    </row>
    <row r="55" spans="1:27" s="454" customFormat="1" ht="35.25" customHeight="1" x14ac:dyDescent="0.25">
      <c r="A55" s="803" t="s">
        <v>91</v>
      </c>
      <c r="B55" s="804" t="s">
        <v>779</v>
      </c>
      <c r="C55" s="816">
        <v>2017</v>
      </c>
      <c r="D55" s="965" t="s">
        <v>830</v>
      </c>
      <c r="E55" s="816" t="s">
        <v>76</v>
      </c>
      <c r="F55" s="940" t="s">
        <v>76</v>
      </c>
      <c r="G55" s="1441" t="s">
        <v>92</v>
      </c>
      <c r="H55" s="1203">
        <v>8260</v>
      </c>
      <c r="I55" s="1203">
        <v>6070.853149999999</v>
      </c>
      <c r="J55" s="941">
        <v>2641.5334700000008</v>
      </c>
      <c r="K55" s="1440">
        <v>0</v>
      </c>
      <c r="L55" s="1528">
        <v>2189.1468500000001</v>
      </c>
      <c r="M55" s="811">
        <v>0</v>
      </c>
      <c r="N55" s="812">
        <v>0</v>
      </c>
      <c r="O55" s="813">
        <v>0</v>
      </c>
      <c r="P55" s="1773">
        <v>2641</v>
      </c>
      <c r="Q55" s="1774">
        <v>-451.85315000000003</v>
      </c>
      <c r="R55" s="1727">
        <f t="shared" si="7"/>
        <v>2189.1468500000001</v>
      </c>
      <c r="S55" s="814">
        <v>0</v>
      </c>
      <c r="T55" s="813">
        <v>0</v>
      </c>
      <c r="U55" s="810">
        <v>0</v>
      </c>
      <c r="V55" s="814">
        <v>0</v>
      </c>
      <c r="W55" s="1208" t="s">
        <v>1599</v>
      </c>
      <c r="X55" s="816" t="s">
        <v>46</v>
      </c>
      <c r="Y55" s="818" t="s">
        <v>883</v>
      </c>
      <c r="Z55" s="817" t="s">
        <v>829</v>
      </c>
      <c r="AA55" s="817" t="s">
        <v>829</v>
      </c>
    </row>
    <row r="56" spans="1:27" s="1399" customFormat="1" ht="27.75" customHeight="1" x14ac:dyDescent="0.25">
      <c r="A56" s="75" t="s">
        <v>93</v>
      </c>
      <c r="B56" s="119" t="s">
        <v>761</v>
      </c>
      <c r="C56" s="76">
        <v>2018</v>
      </c>
      <c r="D56" s="76" t="s">
        <v>831</v>
      </c>
      <c r="E56" s="68" t="s">
        <v>76</v>
      </c>
      <c r="F56" s="293" t="s">
        <v>76</v>
      </c>
      <c r="G56" s="197" t="s">
        <v>94</v>
      </c>
      <c r="H56" s="78">
        <v>4754.3725700000005</v>
      </c>
      <c r="I56" s="78">
        <v>2637.5372499999999</v>
      </c>
      <c r="J56" s="1428">
        <v>2116.8359499999997</v>
      </c>
      <c r="K56" s="648">
        <v>2116.8353200000001</v>
      </c>
      <c r="L56" s="335">
        <v>0</v>
      </c>
      <c r="M56" s="37">
        <v>0</v>
      </c>
      <c r="N56" s="255">
        <v>0</v>
      </c>
      <c r="O56" s="20">
        <v>0</v>
      </c>
      <c r="P56" s="1749">
        <v>6.3000000000000003E-4</v>
      </c>
      <c r="Q56" s="487">
        <v>-6.3000000000000003E-4</v>
      </c>
      <c r="R56" s="1719">
        <f t="shared" si="7"/>
        <v>0</v>
      </c>
      <c r="S56" s="18">
        <v>0</v>
      </c>
      <c r="T56" s="20">
        <v>0</v>
      </c>
      <c r="U56" s="33">
        <v>0</v>
      </c>
      <c r="V56" s="21">
        <v>0</v>
      </c>
      <c r="W56" s="115" t="s">
        <v>776</v>
      </c>
      <c r="X56" s="68" t="s">
        <v>866</v>
      </c>
      <c r="Y56" s="257" t="s">
        <v>562</v>
      </c>
      <c r="Z56" s="67" t="s">
        <v>829</v>
      </c>
      <c r="AA56" s="67" t="s">
        <v>829</v>
      </c>
    </row>
    <row r="57" spans="1:27" s="467" customFormat="1" ht="27.75" customHeight="1" x14ac:dyDescent="0.25">
      <c r="A57" s="75" t="s">
        <v>95</v>
      </c>
      <c r="B57" s="119" t="s">
        <v>96</v>
      </c>
      <c r="C57" s="71">
        <v>2017</v>
      </c>
      <c r="D57" s="71" t="s">
        <v>1008</v>
      </c>
      <c r="E57" s="68" t="s">
        <v>76</v>
      </c>
      <c r="F57" s="80" t="s">
        <v>12</v>
      </c>
      <c r="G57" s="159" t="s">
        <v>97</v>
      </c>
      <c r="H57" s="35">
        <v>998.25</v>
      </c>
      <c r="I57" s="35">
        <v>828.85</v>
      </c>
      <c r="J57" s="1428">
        <v>169.39999999999998</v>
      </c>
      <c r="K57" s="648">
        <v>169.4</v>
      </c>
      <c r="L57" s="335">
        <v>0</v>
      </c>
      <c r="M57" s="37">
        <v>0</v>
      </c>
      <c r="N57" s="655">
        <v>0</v>
      </c>
      <c r="O57" s="17">
        <v>0</v>
      </c>
      <c r="P57" s="1766">
        <v>0</v>
      </c>
      <c r="Q57" s="1767">
        <v>0</v>
      </c>
      <c r="R57" s="1719">
        <f t="shared" si="7"/>
        <v>0</v>
      </c>
      <c r="S57" s="18">
        <v>0</v>
      </c>
      <c r="T57" s="17">
        <v>0</v>
      </c>
      <c r="U57" s="36">
        <v>0</v>
      </c>
      <c r="V57" s="18">
        <v>0</v>
      </c>
      <c r="W57" s="115" t="s">
        <v>776</v>
      </c>
      <c r="X57" s="68" t="s">
        <v>866</v>
      </c>
      <c r="Y57" s="257" t="s">
        <v>25</v>
      </c>
      <c r="Z57" s="67" t="s">
        <v>829</v>
      </c>
      <c r="AA57" s="67" t="s">
        <v>829</v>
      </c>
    </row>
    <row r="58" spans="1:27" s="466" customFormat="1" ht="27.75" customHeight="1" x14ac:dyDescent="0.25">
      <c r="A58" s="763" t="s">
        <v>98</v>
      </c>
      <c r="B58" s="764" t="s">
        <v>99</v>
      </c>
      <c r="C58" s="553">
        <v>2017</v>
      </c>
      <c r="D58" s="553" t="s">
        <v>996</v>
      </c>
      <c r="E58" s="851" t="s">
        <v>12</v>
      </c>
      <c r="F58" s="802" t="s">
        <v>12</v>
      </c>
      <c r="G58" s="1139" t="s">
        <v>100</v>
      </c>
      <c r="H58" s="767">
        <f>3062.72+1000</f>
        <v>4062.72</v>
      </c>
      <c r="I58" s="767">
        <v>0</v>
      </c>
      <c r="J58" s="767">
        <v>262.7199999999998</v>
      </c>
      <c r="K58" s="862">
        <v>0</v>
      </c>
      <c r="L58" s="1524">
        <v>1000</v>
      </c>
      <c r="M58" s="756">
        <v>1000</v>
      </c>
      <c r="N58" s="771">
        <v>1000</v>
      </c>
      <c r="O58" s="773">
        <v>1062.72</v>
      </c>
      <c r="P58" s="1751">
        <v>4062.7200000000003</v>
      </c>
      <c r="Q58" s="1768">
        <v>0</v>
      </c>
      <c r="R58" s="1466">
        <f t="shared" si="7"/>
        <v>4062.7200000000003</v>
      </c>
      <c r="S58" s="759">
        <v>0</v>
      </c>
      <c r="T58" s="773">
        <v>0</v>
      </c>
      <c r="U58" s="772">
        <v>0</v>
      </c>
      <c r="V58" s="759">
        <v>0</v>
      </c>
      <c r="W58" s="435" t="s">
        <v>1952</v>
      </c>
      <c r="X58" s="553" t="s">
        <v>46</v>
      </c>
      <c r="Y58" s="775" t="s">
        <v>791</v>
      </c>
      <c r="Z58" s="774" t="s">
        <v>826</v>
      </c>
      <c r="AA58" s="774" t="s">
        <v>829</v>
      </c>
    </row>
    <row r="59" spans="1:27" s="464" customFormat="1" ht="30" x14ac:dyDescent="0.25">
      <c r="A59" s="532" t="s">
        <v>101</v>
      </c>
      <c r="B59" s="793" t="s">
        <v>762</v>
      </c>
      <c r="C59" s="579">
        <v>2018</v>
      </c>
      <c r="D59" s="579" t="s">
        <v>102</v>
      </c>
      <c r="E59" s="534" t="s">
        <v>76</v>
      </c>
      <c r="F59" s="535" t="s">
        <v>76</v>
      </c>
      <c r="G59" s="536" t="s">
        <v>103</v>
      </c>
      <c r="H59" s="537">
        <f>5247.95755-313.74807</f>
        <v>4934.2094800000004</v>
      </c>
      <c r="I59" s="537">
        <v>4934.2094800000004</v>
      </c>
      <c r="J59" s="1439">
        <v>313.74806999999998</v>
      </c>
      <c r="K59" s="1174">
        <v>0</v>
      </c>
      <c r="L59" s="1527">
        <v>0</v>
      </c>
      <c r="M59" s="733">
        <v>0</v>
      </c>
      <c r="N59" s="797">
        <v>0</v>
      </c>
      <c r="O59" s="540">
        <v>0</v>
      </c>
      <c r="P59" s="1771">
        <v>313.74806999999998</v>
      </c>
      <c r="Q59" s="1772">
        <v>-313.74806999999998</v>
      </c>
      <c r="R59" s="1721">
        <f t="shared" si="7"/>
        <v>0</v>
      </c>
      <c r="S59" s="539">
        <v>0</v>
      </c>
      <c r="T59" s="540">
        <v>0</v>
      </c>
      <c r="U59" s="796">
        <v>0</v>
      </c>
      <c r="V59" s="539">
        <v>0</v>
      </c>
      <c r="W59" s="355" t="s">
        <v>1600</v>
      </c>
      <c r="X59" s="461" t="s">
        <v>866</v>
      </c>
      <c r="Y59" s="799" t="s">
        <v>562</v>
      </c>
      <c r="Z59" s="798" t="s">
        <v>829</v>
      </c>
      <c r="AA59" s="798" t="s">
        <v>829</v>
      </c>
    </row>
    <row r="60" spans="1:27" s="454" customFormat="1" ht="25.5" x14ac:dyDescent="0.25">
      <c r="A60" s="803" t="s">
        <v>104</v>
      </c>
      <c r="B60" s="804" t="s">
        <v>923</v>
      </c>
      <c r="C60" s="805">
        <v>2018</v>
      </c>
      <c r="D60" s="805" t="s">
        <v>102</v>
      </c>
      <c r="E60" s="806" t="s">
        <v>76</v>
      </c>
      <c r="F60" s="807" t="s">
        <v>76</v>
      </c>
      <c r="G60" s="808" t="s">
        <v>105</v>
      </c>
      <c r="H60" s="809">
        <v>4558</v>
      </c>
      <c r="I60" s="809">
        <v>1168.8611599999999</v>
      </c>
      <c r="J60" s="941">
        <v>3531.1388400000001</v>
      </c>
      <c r="K60" s="1440">
        <v>2446.2186900000002</v>
      </c>
      <c r="L60" s="1528">
        <v>942.92015000000004</v>
      </c>
      <c r="M60" s="811">
        <v>0</v>
      </c>
      <c r="N60" s="812">
        <v>0</v>
      </c>
      <c r="O60" s="813">
        <v>0</v>
      </c>
      <c r="P60" s="1773">
        <f>1084.92015</f>
        <v>1084.9201499999999</v>
      </c>
      <c r="Q60" s="1775">
        <v>-142</v>
      </c>
      <c r="R60" s="1727">
        <f t="shared" si="7"/>
        <v>942.92014999999992</v>
      </c>
      <c r="S60" s="814">
        <v>0</v>
      </c>
      <c r="T60" s="813">
        <v>0</v>
      </c>
      <c r="U60" s="810">
        <v>0</v>
      </c>
      <c r="V60" s="814">
        <v>0</v>
      </c>
      <c r="W60" s="815" t="s">
        <v>1601</v>
      </c>
      <c r="X60" s="816" t="s">
        <v>46</v>
      </c>
      <c r="Y60" s="818" t="s">
        <v>854</v>
      </c>
      <c r="Z60" s="817" t="s">
        <v>829</v>
      </c>
      <c r="AA60" s="817" t="s">
        <v>829</v>
      </c>
    </row>
    <row r="61" spans="1:27" ht="30" x14ac:dyDescent="0.25">
      <c r="A61" s="73" t="s">
        <v>106</v>
      </c>
      <c r="B61" s="94" t="s">
        <v>780</v>
      </c>
      <c r="C61" s="84">
        <v>2018</v>
      </c>
      <c r="D61" s="84" t="s">
        <v>102</v>
      </c>
      <c r="E61" s="83" t="s">
        <v>76</v>
      </c>
      <c r="F61" s="511" t="s">
        <v>76</v>
      </c>
      <c r="G61" s="515" t="s">
        <v>107</v>
      </c>
      <c r="H61" s="22">
        <v>17166.7435</v>
      </c>
      <c r="I61" s="22">
        <v>8372.8423299999995</v>
      </c>
      <c r="J61" s="677">
        <v>8793.9011699999992</v>
      </c>
      <c r="K61" s="246">
        <f>7224.94406+1568.95711</f>
        <v>8793.9011699999992</v>
      </c>
      <c r="L61" s="1525">
        <v>0</v>
      </c>
      <c r="M61" s="27">
        <v>0</v>
      </c>
      <c r="N61" s="654">
        <v>0</v>
      </c>
      <c r="O61" s="23">
        <v>0</v>
      </c>
      <c r="P61" s="1764">
        <v>0</v>
      </c>
      <c r="Q61" s="1765">
        <v>0</v>
      </c>
      <c r="R61" s="1715">
        <f t="shared" si="7"/>
        <v>0</v>
      </c>
      <c r="S61" s="24">
        <v>0</v>
      </c>
      <c r="T61" s="23">
        <v>0</v>
      </c>
      <c r="U61" s="28">
        <v>0</v>
      </c>
      <c r="V61" s="24">
        <v>0</v>
      </c>
      <c r="W61" s="53" t="s">
        <v>776</v>
      </c>
      <c r="X61" s="5" t="s">
        <v>46</v>
      </c>
      <c r="Y61" s="833" t="s">
        <v>1602</v>
      </c>
      <c r="Z61" s="104" t="s">
        <v>829</v>
      </c>
      <c r="AA61" s="104" t="s">
        <v>829</v>
      </c>
    </row>
    <row r="62" spans="1:27" ht="25.5" x14ac:dyDescent="0.25">
      <c r="A62" s="763" t="s">
        <v>108</v>
      </c>
      <c r="B62" s="764" t="s">
        <v>781</v>
      </c>
      <c r="C62" s="819">
        <v>2018</v>
      </c>
      <c r="D62" s="819" t="s">
        <v>102</v>
      </c>
      <c r="E62" s="820" t="s">
        <v>76</v>
      </c>
      <c r="F62" s="765" t="s">
        <v>76</v>
      </c>
      <c r="G62" s="821" t="s">
        <v>109</v>
      </c>
      <c r="H62" s="769">
        <f>15152.24492+7.75508</f>
        <v>15160</v>
      </c>
      <c r="I62" s="769">
        <v>10275.105170000001</v>
      </c>
      <c r="J62" s="767">
        <v>4884.8948299999993</v>
      </c>
      <c r="K62" s="862">
        <v>4877.1397500000003</v>
      </c>
      <c r="L62" s="1524">
        <v>0</v>
      </c>
      <c r="M62" s="756">
        <v>7.7550800000000004</v>
      </c>
      <c r="N62" s="771">
        <v>0</v>
      </c>
      <c r="O62" s="773">
        <v>0</v>
      </c>
      <c r="P62" s="1145">
        <v>7.7550800000000004</v>
      </c>
      <c r="Q62" s="1768">
        <v>0</v>
      </c>
      <c r="R62" s="1466">
        <f t="shared" si="7"/>
        <v>7.7550800000000004</v>
      </c>
      <c r="S62" s="759">
        <v>0</v>
      </c>
      <c r="T62" s="773">
        <v>0</v>
      </c>
      <c r="U62" s="772">
        <v>0</v>
      </c>
      <c r="V62" s="759">
        <v>0</v>
      </c>
      <c r="W62" s="435" t="s">
        <v>1603</v>
      </c>
      <c r="X62" s="553" t="s">
        <v>46</v>
      </c>
      <c r="Y62" s="775" t="s">
        <v>859</v>
      </c>
      <c r="Z62" s="774" t="s">
        <v>829</v>
      </c>
      <c r="AA62" s="774" t="s">
        <v>829</v>
      </c>
    </row>
    <row r="63" spans="1:27" s="467" customFormat="1" ht="25.5" x14ac:dyDescent="0.25">
      <c r="A63" s="75" t="s">
        <v>110</v>
      </c>
      <c r="B63" s="119" t="s">
        <v>832</v>
      </c>
      <c r="C63" s="71">
        <v>2018</v>
      </c>
      <c r="D63" s="71" t="s">
        <v>102</v>
      </c>
      <c r="E63" s="72" t="s">
        <v>76</v>
      </c>
      <c r="F63" s="80" t="s">
        <v>76</v>
      </c>
      <c r="G63" s="159" t="s">
        <v>111</v>
      </c>
      <c r="H63" s="35">
        <v>7646.9967200000001</v>
      </c>
      <c r="I63" s="35">
        <v>0</v>
      </c>
      <c r="J63" s="1428">
        <v>7646.9967200000001</v>
      </c>
      <c r="K63" s="648">
        <v>7646.9967200000001</v>
      </c>
      <c r="L63" s="335">
        <v>0</v>
      </c>
      <c r="M63" s="37">
        <v>0</v>
      </c>
      <c r="N63" s="655">
        <v>0</v>
      </c>
      <c r="O63" s="17">
        <v>0</v>
      </c>
      <c r="P63" s="1749">
        <v>0</v>
      </c>
      <c r="Q63" s="1767">
        <v>0</v>
      </c>
      <c r="R63" s="1719">
        <f t="shared" si="7"/>
        <v>0</v>
      </c>
      <c r="S63" s="18">
        <v>0</v>
      </c>
      <c r="T63" s="17">
        <v>0</v>
      </c>
      <c r="U63" s="36">
        <v>0</v>
      </c>
      <c r="V63" s="18">
        <v>0</v>
      </c>
      <c r="W63" s="120" t="s">
        <v>776</v>
      </c>
      <c r="X63" s="68" t="s">
        <v>866</v>
      </c>
      <c r="Y63" s="257" t="s">
        <v>331</v>
      </c>
      <c r="Z63" s="67" t="s">
        <v>829</v>
      </c>
      <c r="AA63" s="67" t="s">
        <v>829</v>
      </c>
    </row>
    <row r="64" spans="1:27" s="464" customFormat="1" ht="30" x14ac:dyDescent="0.25">
      <c r="A64" s="532" t="s">
        <v>112</v>
      </c>
      <c r="B64" s="793" t="s">
        <v>782</v>
      </c>
      <c r="C64" s="579">
        <v>2018</v>
      </c>
      <c r="D64" s="579" t="s">
        <v>102</v>
      </c>
      <c r="E64" s="534" t="s">
        <v>76</v>
      </c>
      <c r="F64" s="535" t="s">
        <v>76</v>
      </c>
      <c r="G64" s="536" t="s">
        <v>113</v>
      </c>
      <c r="H64" s="537">
        <f>26372-0.0582</f>
        <v>26371.941800000001</v>
      </c>
      <c r="I64" s="537">
        <v>530.69399999999996</v>
      </c>
      <c r="J64" s="1439">
        <v>26372</v>
      </c>
      <c r="K64" s="1174">
        <v>25841.247799999997</v>
      </c>
      <c r="L64" s="1527">
        <v>0</v>
      </c>
      <c r="M64" s="733">
        <v>0</v>
      </c>
      <c r="N64" s="797">
        <v>0</v>
      </c>
      <c r="O64" s="540"/>
      <c r="P64" s="1776">
        <v>530.75220000000002</v>
      </c>
      <c r="Q64" s="1772">
        <v>-530.75220000000002</v>
      </c>
      <c r="R64" s="1721">
        <f t="shared" si="7"/>
        <v>0</v>
      </c>
      <c r="S64" s="539">
        <v>0</v>
      </c>
      <c r="T64" s="540">
        <v>0</v>
      </c>
      <c r="U64" s="796">
        <v>0</v>
      </c>
      <c r="V64" s="539">
        <v>0</v>
      </c>
      <c r="W64" s="463" t="s">
        <v>1604</v>
      </c>
      <c r="X64" s="461" t="s">
        <v>866</v>
      </c>
      <c r="Y64" s="799" t="s">
        <v>305</v>
      </c>
      <c r="Z64" s="798" t="s">
        <v>829</v>
      </c>
      <c r="AA64" s="798" t="s">
        <v>829</v>
      </c>
    </row>
    <row r="65" spans="1:27" s="464" customFormat="1" ht="25.5" x14ac:dyDescent="0.25">
      <c r="A65" s="532" t="s">
        <v>114</v>
      </c>
      <c r="B65" s="793" t="s">
        <v>783</v>
      </c>
      <c r="C65" s="579">
        <v>2018</v>
      </c>
      <c r="D65" s="579" t="s">
        <v>102</v>
      </c>
      <c r="E65" s="534" t="s">
        <v>76</v>
      </c>
      <c r="F65" s="535" t="s">
        <v>76</v>
      </c>
      <c r="G65" s="823" t="s">
        <v>115</v>
      </c>
      <c r="H65" s="537">
        <v>27095.851750000002</v>
      </c>
      <c r="I65" s="1458">
        <v>0</v>
      </c>
      <c r="J65" s="1439">
        <v>27845.79</v>
      </c>
      <c r="K65" s="1174">
        <v>27095.851750000002</v>
      </c>
      <c r="L65" s="1527">
        <v>0</v>
      </c>
      <c r="M65" s="733">
        <v>0</v>
      </c>
      <c r="N65" s="797">
        <v>0</v>
      </c>
      <c r="O65" s="540">
        <v>0</v>
      </c>
      <c r="P65" s="1771">
        <v>749.93825000000004</v>
      </c>
      <c r="Q65" s="1772">
        <v>-749.93825000000004</v>
      </c>
      <c r="R65" s="1721">
        <f t="shared" si="7"/>
        <v>0</v>
      </c>
      <c r="S65" s="539">
        <v>0</v>
      </c>
      <c r="T65" s="540">
        <v>0</v>
      </c>
      <c r="U65" s="796">
        <v>0</v>
      </c>
      <c r="V65" s="539">
        <v>0</v>
      </c>
      <c r="W65" s="355" t="s">
        <v>1605</v>
      </c>
      <c r="X65" s="461" t="s">
        <v>866</v>
      </c>
      <c r="Y65" s="799" t="s">
        <v>562</v>
      </c>
      <c r="Z65" s="798" t="s">
        <v>829</v>
      </c>
      <c r="AA65" s="798" t="s">
        <v>829</v>
      </c>
    </row>
    <row r="66" spans="1:27" s="467" customFormat="1" ht="25.5" x14ac:dyDescent="0.25">
      <c r="A66" s="75" t="s">
        <v>116</v>
      </c>
      <c r="B66" s="119" t="s">
        <v>784</v>
      </c>
      <c r="C66" s="71">
        <v>2018</v>
      </c>
      <c r="D66" s="71" t="s">
        <v>102</v>
      </c>
      <c r="E66" s="72" t="s">
        <v>76</v>
      </c>
      <c r="F66" s="80" t="s">
        <v>76</v>
      </c>
      <c r="G66" s="159" t="s">
        <v>117</v>
      </c>
      <c r="H66" s="35">
        <v>21718.401000000002</v>
      </c>
      <c r="I66" s="35">
        <v>5333.8653800000002</v>
      </c>
      <c r="J66" s="1428">
        <v>16384.535629999998</v>
      </c>
      <c r="K66" s="648">
        <v>16384.535619999999</v>
      </c>
      <c r="L66" s="335">
        <v>0</v>
      </c>
      <c r="M66" s="37">
        <v>0</v>
      </c>
      <c r="N66" s="655">
        <v>0</v>
      </c>
      <c r="O66" s="17">
        <v>0</v>
      </c>
      <c r="P66" s="1766">
        <v>0</v>
      </c>
      <c r="Q66" s="1767">
        <v>0</v>
      </c>
      <c r="R66" s="1719">
        <f t="shared" si="7"/>
        <v>0</v>
      </c>
      <c r="S66" s="18">
        <v>0</v>
      </c>
      <c r="T66" s="17">
        <v>0</v>
      </c>
      <c r="U66" s="36">
        <v>0</v>
      </c>
      <c r="V66" s="18">
        <v>0</v>
      </c>
      <c r="W66" s="120" t="s">
        <v>776</v>
      </c>
      <c r="X66" s="68" t="s">
        <v>866</v>
      </c>
      <c r="Y66" s="257" t="s">
        <v>25</v>
      </c>
      <c r="Z66" s="67" t="s">
        <v>829</v>
      </c>
      <c r="AA66" s="67" t="s">
        <v>829</v>
      </c>
    </row>
    <row r="67" spans="1:27" s="464" customFormat="1" ht="25.5" x14ac:dyDescent="0.25">
      <c r="A67" s="532" t="s">
        <v>118</v>
      </c>
      <c r="B67" s="793" t="s">
        <v>786</v>
      </c>
      <c r="C67" s="579">
        <v>2018</v>
      </c>
      <c r="D67" s="579" t="s">
        <v>102</v>
      </c>
      <c r="E67" s="534" t="s">
        <v>76</v>
      </c>
      <c r="F67" s="535" t="s">
        <v>76</v>
      </c>
      <c r="G67" s="536" t="s">
        <v>119</v>
      </c>
      <c r="H67" s="537">
        <f>6106.96922-201.67197</f>
        <v>5905.2972499999996</v>
      </c>
      <c r="I67" s="537">
        <v>1174.0888600000001</v>
      </c>
      <c r="J67" s="1439">
        <v>4932.8803600000001</v>
      </c>
      <c r="K67" s="1174">
        <v>4731.2083899999998</v>
      </c>
      <c r="L67" s="1527">
        <v>0</v>
      </c>
      <c r="M67" s="733">
        <v>0</v>
      </c>
      <c r="N67" s="797">
        <v>0</v>
      </c>
      <c r="O67" s="540">
        <v>0</v>
      </c>
      <c r="P67" s="1757">
        <v>201.67196999999999</v>
      </c>
      <c r="Q67" s="531">
        <v>-201.67196999999999</v>
      </c>
      <c r="R67" s="1721">
        <f t="shared" si="7"/>
        <v>0</v>
      </c>
      <c r="S67" s="539">
        <v>0</v>
      </c>
      <c r="T67" s="540">
        <v>0</v>
      </c>
      <c r="U67" s="796">
        <v>0</v>
      </c>
      <c r="V67" s="539">
        <v>0</v>
      </c>
      <c r="W67" s="355" t="s">
        <v>1606</v>
      </c>
      <c r="X67" s="461" t="s">
        <v>866</v>
      </c>
      <c r="Y67" s="799" t="s">
        <v>562</v>
      </c>
      <c r="Z67" s="798" t="s">
        <v>829</v>
      </c>
      <c r="AA67" s="798" t="s">
        <v>829</v>
      </c>
    </row>
    <row r="68" spans="1:27" s="464" customFormat="1" ht="25.5" x14ac:dyDescent="0.25">
      <c r="A68" s="532" t="s">
        <v>120</v>
      </c>
      <c r="B68" s="793" t="s">
        <v>1506</v>
      </c>
      <c r="C68" s="579">
        <v>2018</v>
      </c>
      <c r="D68" s="579" t="s">
        <v>102</v>
      </c>
      <c r="E68" s="534" t="s">
        <v>76</v>
      </c>
      <c r="F68" s="535" t="s">
        <v>76</v>
      </c>
      <c r="G68" s="536" t="s">
        <v>121</v>
      </c>
      <c r="H68" s="537">
        <f>3750-92.43547</f>
        <v>3657.5645300000001</v>
      </c>
      <c r="I68" s="537">
        <v>0</v>
      </c>
      <c r="J68" s="1439">
        <v>3700</v>
      </c>
      <c r="K68" s="1174">
        <v>3657.5645300000001</v>
      </c>
      <c r="L68" s="1527">
        <v>0</v>
      </c>
      <c r="M68" s="733">
        <v>0</v>
      </c>
      <c r="N68" s="797">
        <v>0</v>
      </c>
      <c r="O68" s="540">
        <v>0</v>
      </c>
      <c r="P68" s="1776">
        <f>250.15467-157.7192</f>
        <v>92.435470000000009</v>
      </c>
      <c r="Q68" s="1777">
        <f>P68*-1</f>
        <v>-92.435470000000009</v>
      </c>
      <c r="R68" s="1721">
        <f t="shared" si="7"/>
        <v>0</v>
      </c>
      <c r="S68" s="539">
        <v>0</v>
      </c>
      <c r="T68" s="540">
        <v>0</v>
      </c>
      <c r="U68" s="796">
        <v>0</v>
      </c>
      <c r="V68" s="539">
        <v>0</v>
      </c>
      <c r="W68" s="463" t="s">
        <v>1607</v>
      </c>
      <c r="X68" s="461" t="s">
        <v>866</v>
      </c>
      <c r="Y68" s="799" t="s">
        <v>305</v>
      </c>
      <c r="Z68" s="798" t="s">
        <v>829</v>
      </c>
      <c r="AA68" s="798" t="s">
        <v>829</v>
      </c>
    </row>
    <row r="69" spans="1:27" s="1400" customFormat="1" ht="25.5" x14ac:dyDescent="0.25">
      <c r="A69" s="75" t="s">
        <v>122</v>
      </c>
      <c r="B69" s="119" t="s">
        <v>1563</v>
      </c>
      <c r="C69" s="71">
        <v>2018</v>
      </c>
      <c r="D69" s="71" t="s">
        <v>102</v>
      </c>
      <c r="E69" s="72" t="s">
        <v>76</v>
      </c>
      <c r="F69" s="80" t="s">
        <v>76</v>
      </c>
      <c r="G69" s="160" t="s">
        <v>1447</v>
      </c>
      <c r="H69" s="35">
        <v>10030.904839999999</v>
      </c>
      <c r="I69" s="296">
        <v>0</v>
      </c>
      <c r="J69" s="1428">
        <v>10031</v>
      </c>
      <c r="K69" s="648">
        <v>10030.904839999999</v>
      </c>
      <c r="L69" s="335">
        <v>0</v>
      </c>
      <c r="M69" s="37">
        <v>0</v>
      </c>
      <c r="N69" s="655">
        <v>0</v>
      </c>
      <c r="O69" s="17">
        <v>0</v>
      </c>
      <c r="P69" s="1756">
        <v>0</v>
      </c>
      <c r="Q69" s="1767">
        <v>0</v>
      </c>
      <c r="R69" s="1719">
        <f t="shared" si="7"/>
        <v>0</v>
      </c>
      <c r="S69" s="18">
        <v>0</v>
      </c>
      <c r="T69" s="17">
        <v>0</v>
      </c>
      <c r="U69" s="36">
        <v>0</v>
      </c>
      <c r="V69" s="18">
        <v>0</v>
      </c>
      <c r="W69" s="115" t="s">
        <v>776</v>
      </c>
      <c r="X69" s="68" t="s">
        <v>866</v>
      </c>
      <c r="Y69" s="257" t="s">
        <v>305</v>
      </c>
      <c r="Z69" s="67" t="s">
        <v>829</v>
      </c>
      <c r="AA69" s="67" t="s">
        <v>829</v>
      </c>
    </row>
    <row r="70" spans="1:27" s="464" customFormat="1" ht="25.5" x14ac:dyDescent="0.25">
      <c r="A70" s="532" t="s">
        <v>123</v>
      </c>
      <c r="B70" s="793" t="s">
        <v>785</v>
      </c>
      <c r="C70" s="579">
        <v>2018</v>
      </c>
      <c r="D70" s="579" t="s">
        <v>102</v>
      </c>
      <c r="E70" s="534" t="s">
        <v>76</v>
      </c>
      <c r="F70" s="535" t="s">
        <v>76</v>
      </c>
      <c r="G70" s="823" t="s">
        <v>124</v>
      </c>
      <c r="H70" s="537">
        <f>26742.46-25.6724</f>
        <v>26716.7876</v>
      </c>
      <c r="I70" s="537">
        <v>12055.275900000001</v>
      </c>
      <c r="J70" s="1439">
        <v>14687.184099999999</v>
      </c>
      <c r="K70" s="1174">
        <v>14661.511699999999</v>
      </c>
      <c r="L70" s="1527">
        <v>0</v>
      </c>
      <c r="M70" s="733">
        <v>0</v>
      </c>
      <c r="N70" s="797">
        <v>0</v>
      </c>
      <c r="O70" s="540">
        <v>0</v>
      </c>
      <c r="P70" s="1776">
        <v>25.6724</v>
      </c>
      <c r="Q70" s="1772">
        <f>-1*P70</f>
        <v>-25.6724</v>
      </c>
      <c r="R70" s="1721">
        <f t="shared" si="7"/>
        <v>0</v>
      </c>
      <c r="S70" s="539">
        <v>0</v>
      </c>
      <c r="T70" s="540">
        <v>0</v>
      </c>
      <c r="U70" s="796">
        <v>0</v>
      </c>
      <c r="V70" s="539">
        <v>0</v>
      </c>
      <c r="W70" s="355" t="s">
        <v>1608</v>
      </c>
      <c r="X70" s="461" t="s">
        <v>866</v>
      </c>
      <c r="Y70" s="799" t="s">
        <v>305</v>
      </c>
      <c r="Z70" s="798" t="s">
        <v>829</v>
      </c>
      <c r="AA70" s="798" t="s">
        <v>829</v>
      </c>
    </row>
    <row r="71" spans="1:27" s="454" customFormat="1" ht="25.5" x14ac:dyDescent="0.25">
      <c r="A71" s="824" t="s">
        <v>125</v>
      </c>
      <c r="B71" s="825" t="s">
        <v>763</v>
      </c>
      <c r="C71" s="513">
        <v>2018</v>
      </c>
      <c r="D71" s="513" t="s">
        <v>102</v>
      </c>
      <c r="E71" s="570" t="s">
        <v>76</v>
      </c>
      <c r="F71" s="826" t="s">
        <v>76</v>
      </c>
      <c r="G71" s="943" t="s">
        <v>126</v>
      </c>
      <c r="H71" s="569">
        <f>385-0.825</f>
        <v>384.17500000000001</v>
      </c>
      <c r="I71" s="569">
        <v>0</v>
      </c>
      <c r="J71" s="1438">
        <v>385</v>
      </c>
      <c r="K71" s="1131">
        <v>384.17500000000001</v>
      </c>
      <c r="L71" s="1529">
        <v>0</v>
      </c>
      <c r="M71" s="827">
        <v>0</v>
      </c>
      <c r="N71" s="828">
        <v>0</v>
      </c>
      <c r="O71" s="829">
        <v>0</v>
      </c>
      <c r="P71" s="1778">
        <v>0.82499999999999996</v>
      </c>
      <c r="Q71" s="1779">
        <v>-0.82499999999999996</v>
      </c>
      <c r="R71" s="1728">
        <f t="shared" si="7"/>
        <v>0</v>
      </c>
      <c r="S71" s="830">
        <v>0</v>
      </c>
      <c r="T71" s="829">
        <v>0</v>
      </c>
      <c r="U71" s="831">
        <v>0</v>
      </c>
      <c r="V71" s="830">
        <v>0</v>
      </c>
      <c r="W71" s="258" t="s">
        <v>1609</v>
      </c>
      <c r="X71" s="428" t="s">
        <v>46</v>
      </c>
      <c r="Y71" s="833" t="s">
        <v>883</v>
      </c>
      <c r="Z71" s="832" t="s">
        <v>829</v>
      </c>
      <c r="AA71" s="832" t="s">
        <v>829</v>
      </c>
    </row>
    <row r="72" spans="1:27" s="467" customFormat="1" ht="30" x14ac:dyDescent="0.25">
      <c r="A72" s="75" t="s">
        <v>127</v>
      </c>
      <c r="B72" s="119" t="s">
        <v>764</v>
      </c>
      <c r="C72" s="71">
        <v>2018</v>
      </c>
      <c r="D72" s="71" t="s">
        <v>102</v>
      </c>
      <c r="E72" s="72" t="s">
        <v>76</v>
      </c>
      <c r="F72" s="80" t="s">
        <v>76</v>
      </c>
      <c r="G72" s="159" t="s">
        <v>128</v>
      </c>
      <c r="H72" s="35">
        <v>538.81299999999999</v>
      </c>
      <c r="I72" s="35">
        <v>0</v>
      </c>
      <c r="J72" s="1428">
        <v>539</v>
      </c>
      <c r="K72" s="648">
        <v>538.81299999999999</v>
      </c>
      <c r="L72" s="335">
        <v>0</v>
      </c>
      <c r="M72" s="37">
        <v>0</v>
      </c>
      <c r="N72" s="655">
        <v>0</v>
      </c>
      <c r="O72" s="17">
        <v>0</v>
      </c>
      <c r="P72" s="1766">
        <v>0.187</v>
      </c>
      <c r="Q72" s="1767">
        <v>-0.187</v>
      </c>
      <c r="R72" s="1719">
        <f t="shared" si="7"/>
        <v>0</v>
      </c>
      <c r="S72" s="18">
        <v>0</v>
      </c>
      <c r="T72" s="17">
        <v>0</v>
      </c>
      <c r="U72" s="36">
        <v>0</v>
      </c>
      <c r="V72" s="18">
        <v>0</v>
      </c>
      <c r="W72" s="115" t="s">
        <v>776</v>
      </c>
      <c r="X72" s="68" t="s">
        <v>866</v>
      </c>
      <c r="Y72" s="257" t="s">
        <v>562</v>
      </c>
      <c r="Z72" s="67" t="s">
        <v>829</v>
      </c>
      <c r="AA72" s="67" t="s">
        <v>829</v>
      </c>
    </row>
    <row r="73" spans="1:27" ht="30" x14ac:dyDescent="0.25">
      <c r="A73" s="763" t="s">
        <v>129</v>
      </c>
      <c r="B73" s="764" t="s">
        <v>765</v>
      </c>
      <c r="C73" s="819">
        <v>2018</v>
      </c>
      <c r="D73" s="819" t="s">
        <v>102</v>
      </c>
      <c r="E73" s="820" t="s">
        <v>76</v>
      </c>
      <c r="F73" s="765" t="s">
        <v>76</v>
      </c>
      <c r="G73" s="821" t="s">
        <v>130</v>
      </c>
      <c r="H73" s="769">
        <v>4246.3500000000004</v>
      </c>
      <c r="I73" s="769">
        <v>0</v>
      </c>
      <c r="J73" s="767">
        <v>4246.3500000000004</v>
      </c>
      <c r="K73" s="862">
        <v>1765.3261500000001</v>
      </c>
      <c r="L73" s="1524">
        <v>0</v>
      </c>
      <c r="M73" s="756">
        <v>2481.02385</v>
      </c>
      <c r="N73" s="771">
        <v>0</v>
      </c>
      <c r="O73" s="773">
        <v>0</v>
      </c>
      <c r="P73" s="1751">
        <f>4246.35-1765.32615</f>
        <v>2481.0238500000005</v>
      </c>
      <c r="Q73" s="1768">
        <v>0</v>
      </c>
      <c r="R73" s="1466">
        <f t="shared" si="7"/>
        <v>2481.0238500000005</v>
      </c>
      <c r="S73" s="759">
        <v>0</v>
      </c>
      <c r="T73" s="773">
        <v>0</v>
      </c>
      <c r="U73" s="772">
        <v>0</v>
      </c>
      <c r="V73" s="759">
        <v>0</v>
      </c>
      <c r="W73" s="435" t="s">
        <v>1953</v>
      </c>
      <c r="X73" s="553" t="s">
        <v>46</v>
      </c>
      <c r="Y73" s="775" t="s">
        <v>859</v>
      </c>
      <c r="Z73" s="774" t="s">
        <v>829</v>
      </c>
      <c r="AA73" s="774" t="s">
        <v>829</v>
      </c>
    </row>
    <row r="74" spans="1:27" s="470" customFormat="1" ht="30" x14ac:dyDescent="0.25">
      <c r="A74" s="1596" t="s">
        <v>131</v>
      </c>
      <c r="B74" s="1597" t="s">
        <v>766</v>
      </c>
      <c r="C74" s="1455">
        <v>2018</v>
      </c>
      <c r="D74" s="1455" t="s">
        <v>102</v>
      </c>
      <c r="E74" s="1437" t="s">
        <v>76</v>
      </c>
      <c r="F74" s="1598" t="s">
        <v>76</v>
      </c>
      <c r="G74" s="1599" t="s">
        <v>132</v>
      </c>
      <c r="H74" s="373">
        <v>7694.16</v>
      </c>
      <c r="I74" s="373">
        <v>0</v>
      </c>
      <c r="J74" s="1436">
        <v>7434.9926800000003</v>
      </c>
      <c r="K74" s="588">
        <f>7400.38756+34.60512</f>
        <v>7434.9926800000003</v>
      </c>
      <c r="L74" s="1531">
        <f>259+34.77244-34.60512</f>
        <v>259.16732000000002</v>
      </c>
      <c r="M74" s="722">
        <v>0</v>
      </c>
      <c r="N74" s="1600">
        <v>0</v>
      </c>
      <c r="O74" s="1601">
        <v>0</v>
      </c>
      <c r="P74" s="1780">
        <f>34.77244-34.60512</f>
        <v>0.16732000000000369</v>
      </c>
      <c r="Q74" s="1781">
        <v>259</v>
      </c>
      <c r="R74" s="1729">
        <f t="shared" si="7"/>
        <v>259.16732000000002</v>
      </c>
      <c r="S74" s="1602">
        <v>0</v>
      </c>
      <c r="T74" s="1601">
        <v>0</v>
      </c>
      <c r="U74" s="1603">
        <v>0</v>
      </c>
      <c r="V74" s="1602">
        <v>0</v>
      </c>
      <c r="W74" s="352" t="s">
        <v>1859</v>
      </c>
      <c r="X74" s="372" t="s">
        <v>46</v>
      </c>
      <c r="Y74" s="726" t="s">
        <v>854</v>
      </c>
      <c r="Z74" s="727" t="s">
        <v>829</v>
      </c>
      <c r="AA74" s="727" t="s">
        <v>829</v>
      </c>
    </row>
    <row r="75" spans="1:27" ht="30" x14ac:dyDescent="0.25">
      <c r="A75" s="73" t="s">
        <v>133</v>
      </c>
      <c r="B75" s="94" t="s">
        <v>794</v>
      </c>
      <c r="C75" s="84">
        <v>2018</v>
      </c>
      <c r="D75" s="84" t="s">
        <v>102</v>
      </c>
      <c r="E75" s="83" t="s">
        <v>76</v>
      </c>
      <c r="F75" s="511" t="s">
        <v>76</v>
      </c>
      <c r="G75" s="517" t="s">
        <v>134</v>
      </c>
      <c r="H75" s="22">
        <v>13323</v>
      </c>
      <c r="I75" s="22">
        <v>0</v>
      </c>
      <c r="J75" s="677">
        <v>0</v>
      </c>
      <c r="K75" s="246">
        <v>0</v>
      </c>
      <c r="L75" s="1525">
        <v>0</v>
      </c>
      <c r="M75" s="27">
        <v>0</v>
      </c>
      <c r="N75" s="654">
        <v>13323</v>
      </c>
      <c r="O75" s="23">
        <v>0</v>
      </c>
      <c r="P75" s="1764">
        <v>13323</v>
      </c>
      <c r="Q75" s="1765">
        <v>0</v>
      </c>
      <c r="R75" s="1715">
        <f t="shared" si="7"/>
        <v>13323</v>
      </c>
      <c r="S75" s="24">
        <v>0</v>
      </c>
      <c r="T75" s="23">
        <v>0</v>
      </c>
      <c r="U75" s="28">
        <v>0</v>
      </c>
      <c r="V75" s="24">
        <v>0</v>
      </c>
      <c r="W75" s="53" t="s">
        <v>776</v>
      </c>
      <c r="X75" s="5" t="s">
        <v>46</v>
      </c>
      <c r="Y75" s="232" t="s">
        <v>746</v>
      </c>
      <c r="Z75" s="104" t="s">
        <v>829</v>
      </c>
      <c r="AA75" s="104" t="s">
        <v>828</v>
      </c>
    </row>
    <row r="76" spans="1:27" ht="30" x14ac:dyDescent="0.25">
      <c r="A76" s="763" t="s">
        <v>135</v>
      </c>
      <c r="B76" s="764" t="s">
        <v>1502</v>
      </c>
      <c r="C76" s="819">
        <v>2018</v>
      </c>
      <c r="D76" s="819" t="s">
        <v>102</v>
      </c>
      <c r="E76" s="820" t="s">
        <v>76</v>
      </c>
      <c r="F76" s="765" t="s">
        <v>76</v>
      </c>
      <c r="G76" s="839" t="s">
        <v>136</v>
      </c>
      <c r="H76" s="769">
        <v>3124.5</v>
      </c>
      <c r="I76" s="769">
        <v>0</v>
      </c>
      <c r="J76" s="767">
        <v>3124.5</v>
      </c>
      <c r="K76" s="862">
        <v>2834.4879999999998</v>
      </c>
      <c r="L76" s="1524">
        <v>290.012</v>
      </c>
      <c r="M76" s="756">
        <v>0</v>
      </c>
      <c r="N76" s="771">
        <v>0</v>
      </c>
      <c r="O76" s="773">
        <v>0</v>
      </c>
      <c r="P76" s="1751">
        <v>290.01200000000017</v>
      </c>
      <c r="Q76" s="1768">
        <v>0</v>
      </c>
      <c r="R76" s="1466">
        <f t="shared" si="7"/>
        <v>290.01200000000017</v>
      </c>
      <c r="S76" s="759">
        <v>0</v>
      </c>
      <c r="T76" s="773">
        <v>0</v>
      </c>
      <c r="U76" s="772">
        <v>0</v>
      </c>
      <c r="V76" s="759">
        <v>0</v>
      </c>
      <c r="W76" s="840" t="s">
        <v>1610</v>
      </c>
      <c r="X76" s="553" t="s">
        <v>46</v>
      </c>
      <c r="Y76" s="775" t="s">
        <v>883</v>
      </c>
      <c r="Z76" s="774" t="s">
        <v>829</v>
      </c>
      <c r="AA76" s="774" t="s">
        <v>829</v>
      </c>
    </row>
    <row r="77" spans="1:27" s="464" customFormat="1" ht="28.5" customHeight="1" x14ac:dyDescent="0.25">
      <c r="A77" s="532" t="s">
        <v>137</v>
      </c>
      <c r="B77" s="793" t="s">
        <v>787</v>
      </c>
      <c r="C77" s="579">
        <v>2018</v>
      </c>
      <c r="D77" s="579" t="s">
        <v>102</v>
      </c>
      <c r="E77" s="534" t="s">
        <v>76</v>
      </c>
      <c r="F77" s="535" t="s">
        <v>76</v>
      </c>
      <c r="G77" s="823" t="s">
        <v>138</v>
      </c>
      <c r="H77" s="537">
        <v>6964.90535</v>
      </c>
      <c r="I77" s="537">
        <v>1210</v>
      </c>
      <c r="J77" s="1439">
        <v>5857.45</v>
      </c>
      <c r="K77" s="1174">
        <v>5754.90535</v>
      </c>
      <c r="L77" s="1527">
        <v>0</v>
      </c>
      <c r="M77" s="733">
        <v>0</v>
      </c>
      <c r="N77" s="797">
        <v>0</v>
      </c>
      <c r="O77" s="540">
        <v>0</v>
      </c>
      <c r="P77" s="1771">
        <v>102.54465</v>
      </c>
      <c r="Q77" s="1772">
        <v>-102.54465</v>
      </c>
      <c r="R77" s="1721">
        <f t="shared" si="7"/>
        <v>0</v>
      </c>
      <c r="S77" s="539">
        <v>0</v>
      </c>
      <c r="T77" s="540">
        <v>0</v>
      </c>
      <c r="U77" s="796">
        <v>0</v>
      </c>
      <c r="V77" s="539">
        <v>0</v>
      </c>
      <c r="W77" s="355" t="s">
        <v>1611</v>
      </c>
      <c r="X77" s="461" t="s">
        <v>866</v>
      </c>
      <c r="Y77" s="799" t="s">
        <v>562</v>
      </c>
      <c r="Z77" s="798" t="s">
        <v>829</v>
      </c>
      <c r="AA77" s="798" t="s">
        <v>829</v>
      </c>
    </row>
    <row r="78" spans="1:27" s="467" customFormat="1" ht="25.5" x14ac:dyDescent="0.25">
      <c r="A78" s="75" t="s">
        <v>139</v>
      </c>
      <c r="B78" s="119" t="s">
        <v>833</v>
      </c>
      <c r="C78" s="71">
        <v>2018</v>
      </c>
      <c r="D78" s="71" t="s">
        <v>102</v>
      </c>
      <c r="E78" s="72" t="s">
        <v>76</v>
      </c>
      <c r="F78" s="80" t="s">
        <v>76</v>
      </c>
      <c r="G78" s="160" t="s">
        <v>140</v>
      </c>
      <c r="H78" s="19">
        <v>3751</v>
      </c>
      <c r="I78" s="296">
        <v>0</v>
      </c>
      <c r="J78" s="1428">
        <v>3751</v>
      </c>
      <c r="K78" s="648">
        <v>3751</v>
      </c>
      <c r="L78" s="335">
        <v>0</v>
      </c>
      <c r="M78" s="37">
        <v>0</v>
      </c>
      <c r="N78" s="255">
        <v>0</v>
      </c>
      <c r="O78" s="20">
        <v>0</v>
      </c>
      <c r="P78" s="1749">
        <v>0</v>
      </c>
      <c r="Q78" s="487">
        <v>0</v>
      </c>
      <c r="R78" s="1719">
        <f t="shared" si="7"/>
        <v>0</v>
      </c>
      <c r="S78" s="21">
        <v>0</v>
      </c>
      <c r="T78" s="20">
        <v>0</v>
      </c>
      <c r="U78" s="33">
        <v>0</v>
      </c>
      <c r="V78" s="21">
        <v>0</v>
      </c>
      <c r="W78" s="120" t="s">
        <v>776</v>
      </c>
      <c r="X78" s="68" t="s">
        <v>866</v>
      </c>
      <c r="Y78" s="257" t="s">
        <v>21</v>
      </c>
      <c r="Z78" s="67" t="s">
        <v>829</v>
      </c>
      <c r="AA78" s="67" t="s">
        <v>829</v>
      </c>
    </row>
    <row r="79" spans="1:27" s="467" customFormat="1" ht="30" x14ac:dyDescent="0.25">
      <c r="A79" s="75" t="s">
        <v>141</v>
      </c>
      <c r="B79" s="119" t="s">
        <v>1504</v>
      </c>
      <c r="C79" s="71">
        <v>2018</v>
      </c>
      <c r="D79" s="71" t="s">
        <v>102</v>
      </c>
      <c r="E79" s="72" t="s">
        <v>76</v>
      </c>
      <c r="F79" s="80" t="s">
        <v>76</v>
      </c>
      <c r="G79" s="589" t="s">
        <v>142</v>
      </c>
      <c r="H79" s="19">
        <v>9636.2491800000007</v>
      </c>
      <c r="I79" s="296">
        <v>0</v>
      </c>
      <c r="J79" s="1428">
        <v>9636.2491800000007</v>
      </c>
      <c r="K79" s="648">
        <v>9636.2491800000007</v>
      </c>
      <c r="L79" s="335">
        <v>0</v>
      </c>
      <c r="M79" s="37">
        <v>0</v>
      </c>
      <c r="N79" s="655">
        <v>0</v>
      </c>
      <c r="O79" s="17">
        <v>0</v>
      </c>
      <c r="P79" s="1766">
        <v>0</v>
      </c>
      <c r="Q79" s="1767">
        <v>0</v>
      </c>
      <c r="R79" s="1719">
        <f t="shared" si="7"/>
        <v>0</v>
      </c>
      <c r="S79" s="21">
        <v>0</v>
      </c>
      <c r="T79" s="17">
        <v>0</v>
      </c>
      <c r="U79" s="36">
        <v>0</v>
      </c>
      <c r="V79" s="18">
        <v>0</v>
      </c>
      <c r="W79" s="115" t="s">
        <v>776</v>
      </c>
      <c r="X79" s="68" t="s">
        <v>866</v>
      </c>
      <c r="Y79" s="257" t="s">
        <v>25</v>
      </c>
      <c r="Z79" s="67" t="s">
        <v>829</v>
      </c>
      <c r="AA79" s="67" t="s">
        <v>829</v>
      </c>
    </row>
    <row r="80" spans="1:27" ht="28.5" customHeight="1" x14ac:dyDescent="0.25">
      <c r="A80" s="849" t="s">
        <v>143</v>
      </c>
      <c r="B80" s="850" t="s">
        <v>794</v>
      </c>
      <c r="C80" s="553">
        <v>2018</v>
      </c>
      <c r="D80" s="553" t="s">
        <v>102</v>
      </c>
      <c r="E80" s="851" t="s">
        <v>76</v>
      </c>
      <c r="F80" s="802" t="s">
        <v>76</v>
      </c>
      <c r="G80" s="937" t="s">
        <v>144</v>
      </c>
      <c r="H80" s="767">
        <v>1860</v>
      </c>
      <c r="I80" s="767">
        <v>0</v>
      </c>
      <c r="J80" s="767">
        <v>1860</v>
      </c>
      <c r="K80" s="853">
        <v>0</v>
      </c>
      <c r="L80" s="1524">
        <v>0</v>
      </c>
      <c r="M80" s="841">
        <v>1860</v>
      </c>
      <c r="N80" s="921">
        <v>0</v>
      </c>
      <c r="O80" s="857">
        <v>0</v>
      </c>
      <c r="P80" s="770">
        <v>1860</v>
      </c>
      <c r="Q80" s="1612">
        <v>0</v>
      </c>
      <c r="R80" s="1145">
        <f t="shared" si="7"/>
        <v>1860</v>
      </c>
      <c r="S80" s="855">
        <v>0</v>
      </c>
      <c r="T80" s="857">
        <v>0</v>
      </c>
      <c r="U80" s="777">
        <v>0</v>
      </c>
      <c r="V80" s="855">
        <v>0</v>
      </c>
      <c r="W80" s="435" t="s">
        <v>1788</v>
      </c>
      <c r="X80" s="553" t="s">
        <v>46</v>
      </c>
      <c r="Y80" s="775" t="s">
        <v>859</v>
      </c>
      <c r="Z80" s="774" t="s">
        <v>829</v>
      </c>
      <c r="AA80" s="774" t="s">
        <v>829</v>
      </c>
    </row>
    <row r="81" spans="1:27" ht="28.5" customHeight="1" x14ac:dyDescent="0.25">
      <c r="A81" s="763" t="s">
        <v>145</v>
      </c>
      <c r="B81" s="764" t="s">
        <v>794</v>
      </c>
      <c r="C81" s="819">
        <v>2018</v>
      </c>
      <c r="D81" s="819" t="s">
        <v>102</v>
      </c>
      <c r="E81" s="820" t="s">
        <v>76</v>
      </c>
      <c r="F81" s="765" t="s">
        <v>76</v>
      </c>
      <c r="G81" s="937" t="s">
        <v>146</v>
      </c>
      <c r="H81" s="769">
        <v>350</v>
      </c>
      <c r="I81" s="769">
        <v>0</v>
      </c>
      <c r="J81" s="767">
        <v>350</v>
      </c>
      <c r="K81" s="862">
        <v>0</v>
      </c>
      <c r="L81" s="1524">
        <v>0</v>
      </c>
      <c r="M81" s="841">
        <v>0</v>
      </c>
      <c r="N81" s="1281">
        <v>0</v>
      </c>
      <c r="O81" s="773">
        <v>0</v>
      </c>
      <c r="P81" s="1751">
        <v>350</v>
      </c>
      <c r="Q81" s="1768">
        <v>-350</v>
      </c>
      <c r="R81" s="1466">
        <f t="shared" si="7"/>
        <v>0</v>
      </c>
      <c r="S81" s="759">
        <v>0</v>
      </c>
      <c r="T81" s="773">
        <v>0</v>
      </c>
      <c r="U81" s="772">
        <v>350</v>
      </c>
      <c r="V81" s="759">
        <v>0</v>
      </c>
      <c r="W81" s="435" t="s">
        <v>1612</v>
      </c>
      <c r="X81" s="553" t="s">
        <v>14</v>
      </c>
      <c r="Y81" s="775" t="s">
        <v>310</v>
      </c>
      <c r="Z81" s="774" t="s">
        <v>828</v>
      </c>
      <c r="AA81" s="774" t="s">
        <v>828</v>
      </c>
    </row>
    <row r="82" spans="1:27" s="467" customFormat="1" ht="28.5" customHeight="1" x14ac:dyDescent="0.25">
      <c r="A82" s="75" t="s">
        <v>147</v>
      </c>
      <c r="B82" s="119" t="s">
        <v>788</v>
      </c>
      <c r="C82" s="71">
        <v>2018</v>
      </c>
      <c r="D82" s="71" t="s">
        <v>102</v>
      </c>
      <c r="E82" s="72" t="s">
        <v>76</v>
      </c>
      <c r="F82" s="80" t="s">
        <v>76</v>
      </c>
      <c r="G82" s="160" t="s">
        <v>148</v>
      </c>
      <c r="H82" s="35">
        <v>12010.77896</v>
      </c>
      <c r="I82" s="35">
        <v>11242.8</v>
      </c>
      <c r="J82" s="1428">
        <v>767.98000000000104</v>
      </c>
      <c r="K82" s="648">
        <v>767.97896000000003</v>
      </c>
      <c r="L82" s="335">
        <v>0</v>
      </c>
      <c r="M82" s="37">
        <v>0</v>
      </c>
      <c r="N82" s="655">
        <v>0</v>
      </c>
      <c r="O82" s="17">
        <v>0</v>
      </c>
      <c r="P82" s="1766">
        <v>0</v>
      </c>
      <c r="Q82" s="1767">
        <v>0</v>
      </c>
      <c r="R82" s="1719">
        <f t="shared" si="7"/>
        <v>0</v>
      </c>
      <c r="S82" s="18">
        <v>0</v>
      </c>
      <c r="T82" s="17">
        <v>0</v>
      </c>
      <c r="U82" s="36">
        <v>0</v>
      </c>
      <c r="V82" s="18">
        <v>0</v>
      </c>
      <c r="W82" s="120" t="s">
        <v>776</v>
      </c>
      <c r="X82" s="68" t="s">
        <v>866</v>
      </c>
      <c r="Y82" s="257" t="s">
        <v>767</v>
      </c>
      <c r="Z82" s="67" t="s">
        <v>829</v>
      </c>
      <c r="AA82" s="67" t="s">
        <v>829</v>
      </c>
    </row>
    <row r="83" spans="1:27" s="467" customFormat="1" ht="28.5" customHeight="1" x14ac:dyDescent="0.25">
      <c r="A83" s="75" t="s">
        <v>149</v>
      </c>
      <c r="B83" s="119" t="s">
        <v>834</v>
      </c>
      <c r="C83" s="71">
        <v>2018</v>
      </c>
      <c r="D83" s="71" t="s">
        <v>102</v>
      </c>
      <c r="E83" s="72" t="s">
        <v>76</v>
      </c>
      <c r="F83" s="80" t="s">
        <v>76</v>
      </c>
      <c r="G83" s="160" t="s">
        <v>150</v>
      </c>
      <c r="H83" s="35">
        <v>7422.8696300000001</v>
      </c>
      <c r="I83" s="35">
        <v>0</v>
      </c>
      <c r="J83" s="1428">
        <v>7422.87</v>
      </c>
      <c r="K83" s="648">
        <v>7422.8696300000001</v>
      </c>
      <c r="L83" s="335">
        <v>0</v>
      </c>
      <c r="M83" s="37">
        <v>0</v>
      </c>
      <c r="N83" s="655">
        <v>0</v>
      </c>
      <c r="O83" s="17">
        <v>0</v>
      </c>
      <c r="P83" s="1766">
        <v>0</v>
      </c>
      <c r="Q83" s="1767">
        <v>0</v>
      </c>
      <c r="R83" s="1719">
        <f t="shared" si="7"/>
        <v>0</v>
      </c>
      <c r="S83" s="18">
        <v>0</v>
      </c>
      <c r="T83" s="17">
        <v>0</v>
      </c>
      <c r="U83" s="36">
        <v>0</v>
      </c>
      <c r="V83" s="18">
        <v>0</v>
      </c>
      <c r="W83" s="120" t="s">
        <v>776</v>
      </c>
      <c r="X83" s="68" t="s">
        <v>866</v>
      </c>
      <c r="Y83" s="257" t="s">
        <v>563</v>
      </c>
      <c r="Z83" s="67" t="s">
        <v>829</v>
      </c>
      <c r="AA83" s="67" t="s">
        <v>829</v>
      </c>
    </row>
    <row r="84" spans="1:27" s="467" customFormat="1" ht="28.5" customHeight="1" x14ac:dyDescent="0.25">
      <c r="A84" s="75" t="s">
        <v>151</v>
      </c>
      <c r="B84" s="119" t="s">
        <v>835</v>
      </c>
      <c r="C84" s="71">
        <v>2018</v>
      </c>
      <c r="D84" s="71" t="s">
        <v>102</v>
      </c>
      <c r="E84" s="72" t="s">
        <v>76</v>
      </c>
      <c r="F84" s="80" t="s">
        <v>76</v>
      </c>
      <c r="G84" s="518" t="s">
        <v>152</v>
      </c>
      <c r="H84" s="35">
        <f>7177.69+0.00267</f>
        <v>7177.6926699999995</v>
      </c>
      <c r="I84" s="35">
        <v>0</v>
      </c>
      <c r="J84" s="1428">
        <v>7177.6926699999995</v>
      </c>
      <c r="K84" s="648">
        <v>7177.6926700000004</v>
      </c>
      <c r="L84" s="335">
        <v>0</v>
      </c>
      <c r="M84" s="37">
        <v>0</v>
      </c>
      <c r="N84" s="255">
        <v>0</v>
      </c>
      <c r="O84" s="20">
        <v>0</v>
      </c>
      <c r="P84" s="1749">
        <v>0</v>
      </c>
      <c r="Q84" s="1767">
        <v>0</v>
      </c>
      <c r="R84" s="1719">
        <f t="shared" si="7"/>
        <v>0</v>
      </c>
      <c r="S84" s="18">
        <v>0</v>
      </c>
      <c r="T84" s="17">
        <v>0</v>
      </c>
      <c r="U84" s="36">
        <v>0</v>
      </c>
      <c r="V84" s="18">
        <v>0</v>
      </c>
      <c r="W84" s="120" t="s">
        <v>776</v>
      </c>
      <c r="X84" s="68" t="s">
        <v>866</v>
      </c>
      <c r="Y84" s="257" t="s">
        <v>322</v>
      </c>
      <c r="Z84" s="67" t="s">
        <v>829</v>
      </c>
      <c r="AA84" s="67" t="s">
        <v>829</v>
      </c>
    </row>
    <row r="85" spans="1:27" ht="28.5" customHeight="1" x14ac:dyDescent="0.25">
      <c r="A85" s="849" t="s">
        <v>153</v>
      </c>
      <c r="B85" s="850" t="s">
        <v>1510</v>
      </c>
      <c r="C85" s="553">
        <v>2018</v>
      </c>
      <c r="D85" s="553" t="s">
        <v>102</v>
      </c>
      <c r="E85" s="851" t="s">
        <v>1613</v>
      </c>
      <c r="F85" s="802" t="s">
        <v>1613</v>
      </c>
      <c r="G85" s="1634" t="s">
        <v>154</v>
      </c>
      <c r="H85" s="767">
        <v>27718.73</v>
      </c>
      <c r="I85" s="767">
        <f>8828.88+971.30172</f>
        <v>9800.1817199999987</v>
      </c>
      <c r="J85" s="767">
        <v>2000</v>
      </c>
      <c r="K85" s="862">
        <v>1507.0979999999997</v>
      </c>
      <c r="L85" s="1524">
        <v>1000</v>
      </c>
      <c r="M85" s="756">
        <v>7000</v>
      </c>
      <c r="N85" s="841">
        <v>4000</v>
      </c>
      <c r="O85" s="1635">
        <f>4634-0.15172-222.398</f>
        <v>4411.45028</v>
      </c>
      <c r="P85" s="770">
        <f>16633.84828-222.398</f>
        <v>16411.450279999997</v>
      </c>
      <c r="Q85" s="1612">
        <v>0</v>
      </c>
      <c r="R85" s="1466">
        <f t="shared" si="7"/>
        <v>16411.450279999997</v>
      </c>
      <c r="S85" s="759">
        <v>0</v>
      </c>
      <c r="T85" s="857">
        <v>0</v>
      </c>
      <c r="U85" s="777">
        <v>0</v>
      </c>
      <c r="V85" s="855">
        <v>0</v>
      </c>
      <c r="W85" s="840" t="s">
        <v>1954</v>
      </c>
      <c r="X85" s="553" t="s">
        <v>46</v>
      </c>
      <c r="Y85" s="775" t="s">
        <v>791</v>
      </c>
      <c r="Z85" s="774" t="s">
        <v>791</v>
      </c>
      <c r="AA85" s="774" t="s">
        <v>829</v>
      </c>
    </row>
    <row r="86" spans="1:27" s="464" customFormat="1" ht="28.5" customHeight="1" x14ac:dyDescent="0.25">
      <c r="A86" s="532" t="s">
        <v>155</v>
      </c>
      <c r="B86" s="793" t="s">
        <v>1507</v>
      </c>
      <c r="C86" s="579">
        <v>2018</v>
      </c>
      <c r="D86" s="461" t="s">
        <v>806</v>
      </c>
      <c r="E86" s="534" t="s">
        <v>76</v>
      </c>
      <c r="F86" s="535" t="s">
        <v>76</v>
      </c>
      <c r="G86" s="842" t="s">
        <v>156</v>
      </c>
      <c r="H86" s="537">
        <f>11358.69-863.27582+421.20217+15.972</f>
        <v>10932.58835</v>
      </c>
      <c r="I86" s="537">
        <v>0</v>
      </c>
      <c r="J86" s="1439">
        <v>11358.69</v>
      </c>
      <c r="K86" s="1174">
        <v>10932.58835</v>
      </c>
      <c r="L86" s="1527">
        <v>0</v>
      </c>
      <c r="M86" s="733">
        <v>0</v>
      </c>
      <c r="N86" s="797">
        <v>0</v>
      </c>
      <c r="O86" s="540">
        <v>0</v>
      </c>
      <c r="P86" s="1776">
        <v>426.10165000000001</v>
      </c>
      <c r="Q86" s="1772">
        <f>-1*P86</f>
        <v>-426.10165000000001</v>
      </c>
      <c r="R86" s="1721">
        <f t="shared" si="7"/>
        <v>0</v>
      </c>
      <c r="S86" s="539">
        <v>0</v>
      </c>
      <c r="T86" s="540">
        <v>0</v>
      </c>
      <c r="U86" s="796">
        <v>0</v>
      </c>
      <c r="V86" s="539">
        <v>0</v>
      </c>
      <c r="W86" s="355" t="s">
        <v>1614</v>
      </c>
      <c r="X86" s="461" t="s">
        <v>866</v>
      </c>
      <c r="Y86" s="799" t="s">
        <v>305</v>
      </c>
      <c r="Z86" s="798" t="s">
        <v>829</v>
      </c>
      <c r="AA86" s="798" t="s">
        <v>829</v>
      </c>
    </row>
    <row r="87" spans="1:27" s="470" customFormat="1" ht="38.25" x14ac:dyDescent="0.25">
      <c r="A87" s="892" t="s">
        <v>157</v>
      </c>
      <c r="B87" s="893" t="s">
        <v>837</v>
      </c>
      <c r="C87" s="580">
        <v>2018</v>
      </c>
      <c r="D87" s="580" t="s">
        <v>806</v>
      </c>
      <c r="E87" s="895" t="s">
        <v>76</v>
      </c>
      <c r="F87" s="925" t="s">
        <v>76</v>
      </c>
      <c r="G87" s="1214" t="s">
        <v>158</v>
      </c>
      <c r="H87" s="783">
        <f>8821.77521+1496.00364</f>
        <v>10317.778849999999</v>
      </c>
      <c r="I87" s="783">
        <v>0</v>
      </c>
      <c r="J87" s="783">
        <v>9851</v>
      </c>
      <c r="K87" s="1435">
        <v>1508.49064</v>
      </c>
      <c r="L87" s="1526">
        <v>0</v>
      </c>
      <c r="M87" s="786">
        <v>0</v>
      </c>
      <c r="N87" s="897">
        <f>8703.14621+118.629-12.487</f>
        <v>8809.2882100000024</v>
      </c>
      <c r="O87" s="1215">
        <v>0</v>
      </c>
      <c r="P87" s="1782">
        <f>8236.36736+118.629-12.487</f>
        <v>8342.5093600000018</v>
      </c>
      <c r="Q87" s="1783">
        <v>466.77884999999998</v>
      </c>
      <c r="R87" s="1462">
        <f t="shared" si="7"/>
        <v>8809.2882100000024</v>
      </c>
      <c r="S87" s="900">
        <v>0</v>
      </c>
      <c r="T87" s="1215">
        <v>0</v>
      </c>
      <c r="U87" s="785">
        <v>0</v>
      </c>
      <c r="V87" s="900">
        <v>0</v>
      </c>
      <c r="W87" s="838" t="s">
        <v>1837</v>
      </c>
      <c r="X87" s="580" t="s">
        <v>46</v>
      </c>
      <c r="Y87" s="792" t="s">
        <v>845</v>
      </c>
      <c r="Z87" s="791" t="s">
        <v>829</v>
      </c>
      <c r="AA87" s="791" t="s">
        <v>829</v>
      </c>
    </row>
    <row r="88" spans="1:27" s="470" customFormat="1" ht="30" x14ac:dyDescent="0.25">
      <c r="A88" s="779" t="s">
        <v>159</v>
      </c>
      <c r="B88" s="780" t="s">
        <v>1562</v>
      </c>
      <c r="C88" s="834">
        <v>2018</v>
      </c>
      <c r="D88" s="580" t="s">
        <v>806</v>
      </c>
      <c r="E88" s="835" t="s">
        <v>76</v>
      </c>
      <c r="F88" s="781" t="s">
        <v>76</v>
      </c>
      <c r="G88" s="845" t="s">
        <v>160</v>
      </c>
      <c r="H88" s="837">
        <v>7541</v>
      </c>
      <c r="I88" s="837">
        <v>0</v>
      </c>
      <c r="J88" s="783">
        <v>7509.0075800000004</v>
      </c>
      <c r="K88" s="1435">
        <f>2450.65513+2288.52931+2741.63873</f>
        <v>7480.8231699999997</v>
      </c>
      <c r="L88" s="1526">
        <v>0</v>
      </c>
      <c r="M88" s="786">
        <f>3090.34487-3030.16804</f>
        <v>60.176829999999882</v>
      </c>
      <c r="N88" s="787">
        <v>0</v>
      </c>
      <c r="O88" s="788">
        <v>0</v>
      </c>
      <c r="P88" s="1769">
        <f>7509.00758-2450.65513-5030.16804</f>
        <v>28.184410000000753</v>
      </c>
      <c r="Q88" s="1770">
        <v>31.992419999999999</v>
      </c>
      <c r="R88" s="1726">
        <f t="shared" si="7"/>
        <v>60.176830000000749</v>
      </c>
      <c r="S88" s="789">
        <v>0</v>
      </c>
      <c r="T88" s="788">
        <v>0</v>
      </c>
      <c r="U88" s="790">
        <v>0</v>
      </c>
      <c r="V88" s="789">
        <v>0</v>
      </c>
      <c r="W88" s="838" t="s">
        <v>1955</v>
      </c>
      <c r="X88" s="580" t="s">
        <v>46</v>
      </c>
      <c r="Y88" s="792" t="s">
        <v>880</v>
      </c>
      <c r="Z88" s="791" t="s">
        <v>829</v>
      </c>
      <c r="AA88" s="791" t="s">
        <v>829</v>
      </c>
    </row>
    <row r="89" spans="1:27" s="464" customFormat="1" ht="30" x14ac:dyDescent="0.25">
      <c r="A89" s="532" t="s">
        <v>161</v>
      </c>
      <c r="B89" s="793" t="s">
        <v>789</v>
      </c>
      <c r="C89" s="579">
        <v>2018</v>
      </c>
      <c r="D89" s="461" t="s">
        <v>806</v>
      </c>
      <c r="E89" s="534" t="s">
        <v>76</v>
      </c>
      <c r="F89" s="535" t="s">
        <v>76</v>
      </c>
      <c r="G89" s="846" t="s">
        <v>162</v>
      </c>
      <c r="H89" s="537">
        <v>3413.5256100000001</v>
      </c>
      <c r="I89" s="537">
        <v>800.34458999999993</v>
      </c>
      <c r="J89" s="1439">
        <v>2652.8442500000001</v>
      </c>
      <c r="K89" s="1174">
        <v>2613.18102</v>
      </c>
      <c r="L89" s="1527">
        <v>0</v>
      </c>
      <c r="M89" s="733">
        <v>0</v>
      </c>
      <c r="N89" s="797">
        <v>0</v>
      </c>
      <c r="O89" s="540">
        <v>0</v>
      </c>
      <c r="P89" s="1771">
        <v>39.663229999999999</v>
      </c>
      <c r="Q89" s="1772">
        <v>-39.663229999999999</v>
      </c>
      <c r="R89" s="1721">
        <f t="shared" si="7"/>
        <v>0</v>
      </c>
      <c r="S89" s="539">
        <v>0</v>
      </c>
      <c r="T89" s="540">
        <v>0</v>
      </c>
      <c r="U89" s="796">
        <v>0</v>
      </c>
      <c r="V89" s="539">
        <v>0</v>
      </c>
      <c r="W89" s="355" t="s">
        <v>1615</v>
      </c>
      <c r="X89" s="461" t="s">
        <v>866</v>
      </c>
      <c r="Y89" s="799" t="s">
        <v>25</v>
      </c>
      <c r="Z89" s="798" t="s">
        <v>829</v>
      </c>
      <c r="AA89" s="798" t="s">
        <v>829</v>
      </c>
    </row>
    <row r="90" spans="1:27" s="464" customFormat="1" ht="30" x14ac:dyDescent="0.25">
      <c r="A90" s="728" t="s">
        <v>163</v>
      </c>
      <c r="B90" s="533" t="s">
        <v>790</v>
      </c>
      <c r="C90" s="461">
        <v>2018</v>
      </c>
      <c r="D90" s="461" t="s">
        <v>806</v>
      </c>
      <c r="E90" s="730" t="s">
        <v>76</v>
      </c>
      <c r="F90" s="730" t="s">
        <v>76</v>
      </c>
      <c r="G90" s="801" t="s">
        <v>164</v>
      </c>
      <c r="H90" s="462">
        <v>6146.93055</v>
      </c>
      <c r="I90" s="462">
        <v>1693.96892</v>
      </c>
      <c r="J90" s="1439">
        <v>4461.0310799999997</v>
      </c>
      <c r="K90" s="1174">
        <v>4452.9616299999998</v>
      </c>
      <c r="L90" s="1527">
        <v>0</v>
      </c>
      <c r="M90" s="733">
        <v>0</v>
      </c>
      <c r="N90" s="734">
        <v>0</v>
      </c>
      <c r="O90" s="735">
        <v>0</v>
      </c>
      <c r="P90" s="1730">
        <v>8.0645000000000007</v>
      </c>
      <c r="Q90" s="531">
        <f>-1*P90</f>
        <v>-8.0645000000000007</v>
      </c>
      <c r="R90" s="1730">
        <f t="shared" si="7"/>
        <v>0</v>
      </c>
      <c r="S90" s="732">
        <v>0</v>
      </c>
      <c r="T90" s="735">
        <v>0</v>
      </c>
      <c r="U90" s="795">
        <v>0</v>
      </c>
      <c r="V90" s="732">
        <v>0</v>
      </c>
      <c r="W90" s="355" t="s">
        <v>1616</v>
      </c>
      <c r="X90" s="461" t="s">
        <v>866</v>
      </c>
      <c r="Y90" s="799" t="s">
        <v>305</v>
      </c>
      <c r="Z90" s="798" t="s">
        <v>829</v>
      </c>
      <c r="AA90" s="798" t="s">
        <v>829</v>
      </c>
    </row>
    <row r="91" spans="1:27" s="467" customFormat="1" ht="30.75" thickBot="1" x14ac:dyDescent="0.3">
      <c r="A91" s="136" t="s">
        <v>165</v>
      </c>
      <c r="B91" s="116" t="s">
        <v>838</v>
      </c>
      <c r="C91" s="68">
        <v>2018</v>
      </c>
      <c r="D91" s="191" t="s">
        <v>806</v>
      </c>
      <c r="E91" s="69" t="s">
        <v>76</v>
      </c>
      <c r="F91" s="77" t="s">
        <v>76</v>
      </c>
      <c r="G91" s="468" t="s">
        <v>166</v>
      </c>
      <c r="H91" s="19">
        <v>7132.7620999999999</v>
      </c>
      <c r="I91" s="19">
        <v>0</v>
      </c>
      <c r="J91" s="1445">
        <v>7132.76</v>
      </c>
      <c r="K91" s="649">
        <v>7132.7620999999999</v>
      </c>
      <c r="L91" s="335">
        <v>0</v>
      </c>
      <c r="M91" s="37">
        <v>0</v>
      </c>
      <c r="N91" s="379">
        <v>0</v>
      </c>
      <c r="O91" s="20">
        <v>0</v>
      </c>
      <c r="P91" s="1749">
        <v>0</v>
      </c>
      <c r="Q91" s="1767">
        <v>0</v>
      </c>
      <c r="R91" s="1720">
        <f t="shared" si="7"/>
        <v>0</v>
      </c>
      <c r="S91" s="18">
        <v>0</v>
      </c>
      <c r="T91" s="17">
        <v>0</v>
      </c>
      <c r="U91" s="36">
        <v>0</v>
      </c>
      <c r="V91" s="205">
        <v>0</v>
      </c>
      <c r="W91" s="120" t="s">
        <v>776</v>
      </c>
      <c r="X91" s="191" t="s">
        <v>866</v>
      </c>
      <c r="Y91" s="257" t="s">
        <v>25</v>
      </c>
      <c r="Z91" s="67" t="s">
        <v>829</v>
      </c>
      <c r="AA91" s="67" t="s">
        <v>829</v>
      </c>
    </row>
    <row r="92" spans="1:27" ht="25.5" x14ac:dyDescent="0.25">
      <c r="A92" s="111" t="s">
        <v>706</v>
      </c>
      <c r="B92" s="93" t="s">
        <v>794</v>
      </c>
      <c r="C92" s="55">
        <v>2019</v>
      </c>
      <c r="D92" s="4" t="s">
        <v>801</v>
      </c>
      <c r="E92" s="89" t="s">
        <v>80</v>
      </c>
      <c r="F92" s="89" t="s">
        <v>80</v>
      </c>
      <c r="G92" s="482" t="s">
        <v>651</v>
      </c>
      <c r="H92" s="50">
        <v>2000</v>
      </c>
      <c r="I92" s="50">
        <v>0</v>
      </c>
      <c r="J92" s="1405">
        <v>0</v>
      </c>
      <c r="K92" s="246">
        <v>0</v>
      </c>
      <c r="L92" s="332">
        <v>2000</v>
      </c>
      <c r="M92" s="99">
        <v>0</v>
      </c>
      <c r="N92" s="420">
        <v>0</v>
      </c>
      <c r="O92" s="12">
        <v>0</v>
      </c>
      <c r="P92" s="1743">
        <v>2000</v>
      </c>
      <c r="Q92" s="1784">
        <v>0</v>
      </c>
      <c r="R92" s="1715">
        <f t="shared" si="7"/>
        <v>2000</v>
      </c>
      <c r="S92" s="13">
        <v>0</v>
      </c>
      <c r="T92" s="12">
        <v>0</v>
      </c>
      <c r="U92" s="13">
        <v>0</v>
      </c>
      <c r="V92" s="13">
        <v>0</v>
      </c>
      <c r="W92" s="55" t="s">
        <v>776</v>
      </c>
      <c r="X92" s="172" t="s">
        <v>20</v>
      </c>
      <c r="Y92" s="235" t="s">
        <v>722</v>
      </c>
      <c r="Z92" s="107" t="s">
        <v>828</v>
      </c>
      <c r="AA92" s="107" t="s">
        <v>828</v>
      </c>
    </row>
    <row r="93" spans="1:27" s="466" customFormat="1" ht="30" x14ac:dyDescent="0.25">
      <c r="A93" s="892" t="s">
        <v>707</v>
      </c>
      <c r="B93" s="893" t="s">
        <v>1860</v>
      </c>
      <c r="C93" s="580">
        <v>2019</v>
      </c>
      <c r="D93" s="580" t="s">
        <v>801</v>
      </c>
      <c r="E93" s="895" t="s">
        <v>76</v>
      </c>
      <c r="F93" s="895" t="s">
        <v>76</v>
      </c>
      <c r="G93" s="1442" t="s">
        <v>890</v>
      </c>
      <c r="H93" s="783">
        <v>71855</v>
      </c>
      <c r="I93" s="783">
        <v>0</v>
      </c>
      <c r="J93" s="783">
        <v>6000</v>
      </c>
      <c r="K93" s="1435">
        <v>5841.0490900000004</v>
      </c>
      <c r="L93" s="1526">
        <v>0</v>
      </c>
      <c r="M93" s="786">
        <v>0</v>
      </c>
      <c r="N93" s="897">
        <f>6000-841.04909</f>
        <v>5158.9509099999996</v>
      </c>
      <c r="O93" s="1215">
        <f>5158.95091+5841.04909</f>
        <v>11000</v>
      </c>
      <c r="P93" s="1782">
        <f>16158.95091+5841.04909-5841.04909</f>
        <v>16158.95091</v>
      </c>
      <c r="Q93" s="1783">
        <v>0</v>
      </c>
      <c r="R93" s="1726">
        <f t="shared" si="7"/>
        <v>16158.95091</v>
      </c>
      <c r="S93" s="1008">
        <v>0</v>
      </c>
      <c r="T93" s="1215">
        <v>0</v>
      </c>
      <c r="U93" s="900">
        <v>10000</v>
      </c>
      <c r="V93" s="1008">
        <v>39855</v>
      </c>
      <c r="W93" s="1443" t="s">
        <v>1861</v>
      </c>
      <c r="X93" s="580" t="s">
        <v>46</v>
      </c>
      <c r="Y93" s="1444" t="s">
        <v>1617</v>
      </c>
      <c r="Z93" s="791" t="s">
        <v>828</v>
      </c>
      <c r="AA93" s="791" t="s">
        <v>828</v>
      </c>
    </row>
    <row r="94" spans="1:27" s="467" customFormat="1" ht="25.5" x14ac:dyDescent="0.25">
      <c r="A94" s="136" t="s">
        <v>708</v>
      </c>
      <c r="B94" s="116" t="s">
        <v>794</v>
      </c>
      <c r="C94" s="68">
        <v>2019</v>
      </c>
      <c r="D94" s="68" t="s">
        <v>801</v>
      </c>
      <c r="E94" s="69" t="s">
        <v>76</v>
      </c>
      <c r="F94" s="69" t="s">
        <v>76</v>
      </c>
      <c r="G94" s="161" t="s">
        <v>652</v>
      </c>
      <c r="H94" s="19">
        <v>0</v>
      </c>
      <c r="I94" s="19">
        <v>0</v>
      </c>
      <c r="J94" s="19">
        <v>0</v>
      </c>
      <c r="K94" s="648">
        <v>0</v>
      </c>
      <c r="L94" s="335">
        <v>0</v>
      </c>
      <c r="M94" s="37">
        <v>0</v>
      </c>
      <c r="N94" s="255">
        <v>0</v>
      </c>
      <c r="O94" s="20">
        <v>0</v>
      </c>
      <c r="P94" s="1749">
        <v>2560</v>
      </c>
      <c r="Q94" s="1767">
        <v>-2560</v>
      </c>
      <c r="R94" s="1719">
        <f t="shared" si="7"/>
        <v>0</v>
      </c>
      <c r="S94" s="38">
        <v>0</v>
      </c>
      <c r="T94" s="20">
        <v>0</v>
      </c>
      <c r="U94" s="21">
        <v>0</v>
      </c>
      <c r="V94" s="38">
        <v>0</v>
      </c>
      <c r="W94" s="120" t="s">
        <v>1946</v>
      </c>
      <c r="X94" s="68" t="s">
        <v>836</v>
      </c>
      <c r="Y94" s="257" t="s">
        <v>1171</v>
      </c>
      <c r="Z94" s="67" t="s">
        <v>828</v>
      </c>
      <c r="AA94" s="67" t="s">
        <v>828</v>
      </c>
    </row>
    <row r="95" spans="1:27" s="470" customFormat="1" ht="30" x14ac:dyDescent="0.25">
      <c r="A95" s="717" t="s">
        <v>709</v>
      </c>
      <c r="B95" s="718" t="s">
        <v>794</v>
      </c>
      <c r="C95" s="372">
        <v>2019</v>
      </c>
      <c r="D95" s="372" t="s">
        <v>801</v>
      </c>
      <c r="E95" s="490" t="s">
        <v>76</v>
      </c>
      <c r="F95" s="490" t="s">
        <v>76</v>
      </c>
      <c r="G95" s="847" t="s">
        <v>653</v>
      </c>
      <c r="H95" s="374">
        <v>21286</v>
      </c>
      <c r="I95" s="374">
        <v>0</v>
      </c>
      <c r="J95" s="1436">
        <v>0</v>
      </c>
      <c r="K95" s="588">
        <v>0</v>
      </c>
      <c r="L95" s="1531">
        <v>0</v>
      </c>
      <c r="M95" s="722">
        <v>5000</v>
      </c>
      <c r="N95" s="721">
        <v>6044</v>
      </c>
      <c r="O95" s="844">
        <f>10842-600</f>
        <v>10242</v>
      </c>
      <c r="P95" s="1785">
        <v>20842</v>
      </c>
      <c r="Q95" s="1786">
        <f>1044-600</f>
        <v>444</v>
      </c>
      <c r="R95" s="1729">
        <f t="shared" si="7"/>
        <v>21286</v>
      </c>
      <c r="S95" s="848">
        <v>0</v>
      </c>
      <c r="T95" s="844">
        <v>0</v>
      </c>
      <c r="U95" s="723">
        <v>0</v>
      </c>
      <c r="V95" s="848">
        <v>0</v>
      </c>
      <c r="W95" s="354" t="s">
        <v>1618</v>
      </c>
      <c r="X95" s="372" t="s">
        <v>14</v>
      </c>
      <c r="Y95" s="726" t="s">
        <v>881</v>
      </c>
      <c r="Z95" s="727" t="s">
        <v>828</v>
      </c>
      <c r="AA95" s="727" t="s">
        <v>828</v>
      </c>
    </row>
    <row r="96" spans="1:27" s="489" customFormat="1" ht="25.5" x14ac:dyDescent="0.25">
      <c r="A96" s="849" t="s">
        <v>710</v>
      </c>
      <c r="B96" s="850" t="s">
        <v>1862</v>
      </c>
      <c r="C96" s="553">
        <v>2019</v>
      </c>
      <c r="D96" s="553" t="s">
        <v>801</v>
      </c>
      <c r="E96" s="851" t="s">
        <v>76</v>
      </c>
      <c r="F96" s="851" t="s">
        <v>76</v>
      </c>
      <c r="G96" s="852" t="s">
        <v>654</v>
      </c>
      <c r="H96" s="767">
        <v>10000</v>
      </c>
      <c r="I96" s="767">
        <v>0</v>
      </c>
      <c r="J96" s="767">
        <v>10000</v>
      </c>
      <c r="K96" s="862">
        <f>2540.21903+1289.26561</f>
        <v>3829.4846400000001</v>
      </c>
      <c r="L96" s="1524">
        <f>2999.51536+3829.48464-3829.48464</f>
        <v>2999.5153599999999</v>
      </c>
      <c r="M96" s="756">
        <v>3171</v>
      </c>
      <c r="N96" s="841">
        <v>0</v>
      </c>
      <c r="O96" s="857">
        <v>0</v>
      </c>
      <c r="P96" s="770">
        <f>10000-3829.48464</f>
        <v>6170.5153599999994</v>
      </c>
      <c r="Q96" s="1612">
        <v>0</v>
      </c>
      <c r="R96" s="1466">
        <f t="shared" si="7"/>
        <v>6170.5153599999994</v>
      </c>
      <c r="S96" s="856">
        <v>0</v>
      </c>
      <c r="T96" s="857">
        <v>0</v>
      </c>
      <c r="U96" s="855">
        <v>0</v>
      </c>
      <c r="V96" s="856">
        <v>0</v>
      </c>
      <c r="W96" s="840" t="s">
        <v>1863</v>
      </c>
      <c r="X96" s="553" t="s">
        <v>46</v>
      </c>
      <c r="Y96" s="775" t="s">
        <v>925</v>
      </c>
      <c r="Z96" s="774" t="s">
        <v>828</v>
      </c>
      <c r="AA96" s="774" t="s">
        <v>828</v>
      </c>
    </row>
    <row r="97" spans="1:27" ht="30" x14ac:dyDescent="0.25">
      <c r="A97" s="64" t="s">
        <v>711</v>
      </c>
      <c r="B97" s="87" t="s">
        <v>794</v>
      </c>
      <c r="C97" s="5">
        <v>2019</v>
      </c>
      <c r="D97" s="5" t="s">
        <v>801</v>
      </c>
      <c r="E97" s="65" t="s">
        <v>76</v>
      </c>
      <c r="F97" s="65" t="s">
        <v>76</v>
      </c>
      <c r="G97" s="252" t="s">
        <v>655</v>
      </c>
      <c r="H97" s="14">
        <v>706</v>
      </c>
      <c r="I97" s="14">
        <v>0</v>
      </c>
      <c r="J97" s="677">
        <v>0</v>
      </c>
      <c r="K97" s="246">
        <v>0</v>
      </c>
      <c r="L97" s="1525">
        <v>706</v>
      </c>
      <c r="M97" s="27">
        <v>0</v>
      </c>
      <c r="N97" s="247">
        <v>0</v>
      </c>
      <c r="O97" s="15">
        <v>0</v>
      </c>
      <c r="P97" s="1747">
        <v>706</v>
      </c>
      <c r="Q97" s="488">
        <v>0</v>
      </c>
      <c r="R97" s="1715">
        <f t="shared" si="7"/>
        <v>706</v>
      </c>
      <c r="S97" s="3">
        <v>0</v>
      </c>
      <c r="T97" s="15">
        <v>0</v>
      </c>
      <c r="U97" s="16">
        <v>0</v>
      </c>
      <c r="V97" s="3">
        <v>0</v>
      </c>
      <c r="W97" s="121" t="s">
        <v>1619</v>
      </c>
      <c r="X97" s="5" t="s">
        <v>46</v>
      </c>
      <c r="Y97" s="232" t="s">
        <v>854</v>
      </c>
      <c r="Z97" s="104" t="s">
        <v>829</v>
      </c>
      <c r="AA97" s="104" t="s">
        <v>829</v>
      </c>
    </row>
    <row r="98" spans="1:27" ht="28.5" customHeight="1" x14ac:dyDescent="0.25">
      <c r="A98" s="849" t="s">
        <v>712</v>
      </c>
      <c r="B98" s="850" t="s">
        <v>1509</v>
      </c>
      <c r="C98" s="553">
        <v>2019</v>
      </c>
      <c r="D98" s="553" t="s">
        <v>801</v>
      </c>
      <c r="E98" s="851" t="s">
        <v>76</v>
      </c>
      <c r="F98" s="851" t="s">
        <v>76</v>
      </c>
      <c r="G98" s="852" t="s">
        <v>656</v>
      </c>
      <c r="H98" s="767">
        <v>7500</v>
      </c>
      <c r="I98" s="767">
        <v>0</v>
      </c>
      <c r="J98" s="767">
        <v>7500</v>
      </c>
      <c r="K98" s="853">
        <f>2712.71815+81.893</f>
        <v>2794.6111500000002</v>
      </c>
      <c r="L98" s="1524">
        <f>1000-81.893</f>
        <v>918.10699999999997</v>
      </c>
      <c r="M98" s="756">
        <v>3787.2818499999998</v>
      </c>
      <c r="N98" s="841">
        <v>0</v>
      </c>
      <c r="O98" s="857">
        <v>0</v>
      </c>
      <c r="P98" s="770">
        <f>7500-2617.17615-95.542-81.893</f>
        <v>4705.3888500000003</v>
      </c>
      <c r="Q98" s="1612">
        <v>0</v>
      </c>
      <c r="R98" s="1145">
        <f t="shared" si="7"/>
        <v>4705.3888500000003</v>
      </c>
      <c r="S98" s="855">
        <v>0</v>
      </c>
      <c r="T98" s="857">
        <v>0</v>
      </c>
      <c r="U98" s="855">
        <v>0</v>
      </c>
      <c r="V98" s="855">
        <v>0</v>
      </c>
      <c r="W98" s="553" t="s">
        <v>1864</v>
      </c>
      <c r="X98" s="553" t="s">
        <v>46</v>
      </c>
      <c r="Y98" s="775" t="s">
        <v>722</v>
      </c>
      <c r="Z98" s="774" t="s">
        <v>829</v>
      </c>
      <c r="AA98" s="774" t="s">
        <v>829</v>
      </c>
    </row>
    <row r="99" spans="1:27" s="466" customFormat="1" ht="28.5" customHeight="1" x14ac:dyDescent="0.25">
      <c r="A99" s="849" t="s">
        <v>713</v>
      </c>
      <c r="B99" s="850" t="s">
        <v>794</v>
      </c>
      <c r="C99" s="553">
        <v>2019</v>
      </c>
      <c r="D99" s="553" t="s">
        <v>801</v>
      </c>
      <c r="E99" s="851" t="s">
        <v>76</v>
      </c>
      <c r="F99" s="851" t="s">
        <v>76</v>
      </c>
      <c r="G99" s="852" t="s">
        <v>657</v>
      </c>
      <c r="H99" s="767">
        <v>5821</v>
      </c>
      <c r="I99" s="767">
        <v>0</v>
      </c>
      <c r="J99" s="767">
        <v>5821</v>
      </c>
      <c r="K99" s="862">
        <v>0</v>
      </c>
      <c r="L99" s="1524">
        <v>0</v>
      </c>
      <c r="M99" s="756">
        <v>0</v>
      </c>
      <c r="N99" s="841">
        <v>5821</v>
      </c>
      <c r="O99" s="857">
        <v>0</v>
      </c>
      <c r="P99" s="770">
        <v>5821</v>
      </c>
      <c r="Q99" s="1612">
        <v>0</v>
      </c>
      <c r="R99" s="1466">
        <f t="shared" si="7"/>
        <v>5821</v>
      </c>
      <c r="S99" s="856">
        <v>0</v>
      </c>
      <c r="T99" s="857">
        <v>0</v>
      </c>
      <c r="U99" s="855">
        <v>0</v>
      </c>
      <c r="V99" s="856">
        <v>0</v>
      </c>
      <c r="W99" s="840" t="s">
        <v>1620</v>
      </c>
      <c r="X99" s="553" t="s">
        <v>46</v>
      </c>
      <c r="Y99" s="775" t="s">
        <v>881</v>
      </c>
      <c r="Z99" s="774" t="s">
        <v>828</v>
      </c>
      <c r="AA99" s="774" t="s">
        <v>828</v>
      </c>
    </row>
    <row r="100" spans="1:27" ht="28.5" customHeight="1" x14ac:dyDescent="0.25">
      <c r="A100" s="64" t="s">
        <v>714</v>
      </c>
      <c r="B100" s="87" t="s">
        <v>794</v>
      </c>
      <c r="C100" s="5">
        <v>2019</v>
      </c>
      <c r="D100" s="5" t="s">
        <v>801</v>
      </c>
      <c r="E100" s="86" t="s">
        <v>76</v>
      </c>
      <c r="F100" s="86" t="s">
        <v>76</v>
      </c>
      <c r="G100" s="249" t="s">
        <v>658</v>
      </c>
      <c r="H100" s="6">
        <v>13310</v>
      </c>
      <c r="I100" s="14">
        <v>0</v>
      </c>
      <c r="J100" s="677">
        <v>0</v>
      </c>
      <c r="K100" s="246">
        <v>0</v>
      </c>
      <c r="L100" s="1525">
        <v>0</v>
      </c>
      <c r="M100" s="27">
        <v>5000</v>
      </c>
      <c r="N100" s="247">
        <v>8310</v>
      </c>
      <c r="O100" s="15">
        <v>0</v>
      </c>
      <c r="P100" s="1747">
        <v>13310</v>
      </c>
      <c r="Q100" s="488">
        <v>0</v>
      </c>
      <c r="R100" s="1715">
        <f t="shared" si="7"/>
        <v>13310</v>
      </c>
      <c r="S100" s="3">
        <v>0</v>
      </c>
      <c r="T100" s="15">
        <v>0</v>
      </c>
      <c r="U100" s="16">
        <v>0</v>
      </c>
      <c r="V100" s="3">
        <v>0</v>
      </c>
      <c r="W100" s="121" t="s">
        <v>776</v>
      </c>
      <c r="X100" s="5" t="s">
        <v>14</v>
      </c>
      <c r="Y100" s="232" t="s">
        <v>881</v>
      </c>
      <c r="Z100" s="104" t="s">
        <v>828</v>
      </c>
      <c r="AA100" s="104" t="s">
        <v>828</v>
      </c>
    </row>
    <row r="101" spans="1:27" ht="25.5" x14ac:dyDescent="0.25">
      <c r="A101" s="849" t="s">
        <v>715</v>
      </c>
      <c r="B101" s="850" t="s">
        <v>794</v>
      </c>
      <c r="C101" s="553">
        <v>2019</v>
      </c>
      <c r="D101" s="553" t="s">
        <v>801</v>
      </c>
      <c r="E101" s="851" t="s">
        <v>76</v>
      </c>
      <c r="F101" s="851" t="s">
        <v>76</v>
      </c>
      <c r="G101" s="852" t="s">
        <v>659</v>
      </c>
      <c r="H101" s="767">
        <v>7500</v>
      </c>
      <c r="I101" s="767">
        <v>0</v>
      </c>
      <c r="J101" s="767">
        <v>7500</v>
      </c>
      <c r="K101" s="862">
        <v>0</v>
      </c>
      <c r="L101" s="1524">
        <v>2000</v>
      </c>
      <c r="M101" s="756">
        <v>5500</v>
      </c>
      <c r="N101" s="841">
        <v>0</v>
      </c>
      <c r="O101" s="857">
        <v>0</v>
      </c>
      <c r="P101" s="770">
        <v>7500</v>
      </c>
      <c r="Q101" s="1612">
        <v>0</v>
      </c>
      <c r="R101" s="1466">
        <f t="shared" si="7"/>
        <v>7500</v>
      </c>
      <c r="S101" s="856">
        <v>0</v>
      </c>
      <c r="T101" s="857">
        <v>0</v>
      </c>
      <c r="U101" s="855">
        <v>0</v>
      </c>
      <c r="V101" s="856">
        <v>0</v>
      </c>
      <c r="W101" s="840" t="s">
        <v>1621</v>
      </c>
      <c r="X101" s="553" t="s">
        <v>14</v>
      </c>
      <c r="Y101" s="775" t="s">
        <v>881</v>
      </c>
      <c r="Z101" s="774" t="s">
        <v>828</v>
      </c>
      <c r="AA101" s="774" t="s">
        <v>828</v>
      </c>
    </row>
    <row r="102" spans="1:27" s="470" customFormat="1" ht="25.5" x14ac:dyDescent="0.25">
      <c r="A102" s="717" t="s">
        <v>716</v>
      </c>
      <c r="B102" s="718" t="s">
        <v>794</v>
      </c>
      <c r="C102" s="372">
        <v>2019</v>
      </c>
      <c r="D102" s="372" t="s">
        <v>801</v>
      </c>
      <c r="E102" s="490" t="s">
        <v>76</v>
      </c>
      <c r="F102" s="490" t="s">
        <v>76</v>
      </c>
      <c r="G102" s="843" t="s">
        <v>660</v>
      </c>
      <c r="H102" s="374">
        <v>9732</v>
      </c>
      <c r="I102" s="374">
        <v>0</v>
      </c>
      <c r="J102" s="1436">
        <v>0</v>
      </c>
      <c r="K102" s="588">
        <v>0</v>
      </c>
      <c r="L102" s="1531">
        <v>0</v>
      </c>
      <c r="M102" s="722">
        <v>1000</v>
      </c>
      <c r="N102" s="721">
        <v>2000</v>
      </c>
      <c r="O102" s="844">
        <v>6732</v>
      </c>
      <c r="P102" s="1785">
        <v>9631</v>
      </c>
      <c r="Q102" s="1786">
        <v>101</v>
      </c>
      <c r="R102" s="1729">
        <f t="shared" si="7"/>
        <v>9732</v>
      </c>
      <c r="S102" s="848">
        <v>0</v>
      </c>
      <c r="T102" s="844">
        <v>0</v>
      </c>
      <c r="U102" s="723">
        <v>0</v>
      </c>
      <c r="V102" s="723">
        <v>0</v>
      </c>
      <c r="W102" s="354" t="s">
        <v>1622</v>
      </c>
      <c r="X102" s="372" t="s">
        <v>46</v>
      </c>
      <c r="Y102" s="726" t="s">
        <v>881</v>
      </c>
      <c r="Z102" s="727" t="s">
        <v>829</v>
      </c>
      <c r="AA102" s="727" t="s">
        <v>828</v>
      </c>
    </row>
    <row r="103" spans="1:27" s="464" customFormat="1" ht="25.5" x14ac:dyDescent="0.25">
      <c r="A103" s="728" t="s">
        <v>717</v>
      </c>
      <c r="B103" s="533" t="s">
        <v>1503</v>
      </c>
      <c r="C103" s="461">
        <v>2019</v>
      </c>
      <c r="D103" s="461" t="s">
        <v>801</v>
      </c>
      <c r="E103" s="730" t="s">
        <v>76</v>
      </c>
      <c r="F103" s="730" t="s">
        <v>76</v>
      </c>
      <c r="G103" s="866" t="s">
        <v>661</v>
      </c>
      <c r="H103" s="462">
        <f>14450-1245.28143</f>
        <v>13204.718570000001</v>
      </c>
      <c r="I103" s="462">
        <v>0</v>
      </c>
      <c r="J103" s="1439">
        <v>14450</v>
      </c>
      <c r="K103" s="1174">
        <v>13204.718570000001</v>
      </c>
      <c r="L103" s="1527">
        <v>0</v>
      </c>
      <c r="M103" s="733">
        <v>0</v>
      </c>
      <c r="N103" s="734">
        <v>0</v>
      </c>
      <c r="O103" s="735">
        <v>0</v>
      </c>
      <c r="P103" s="1757">
        <v>1245.28143</v>
      </c>
      <c r="Q103" s="1402">
        <v>-1245.28143</v>
      </c>
      <c r="R103" s="1721">
        <f t="shared" si="7"/>
        <v>0</v>
      </c>
      <c r="S103" s="867">
        <v>0</v>
      </c>
      <c r="T103" s="735">
        <v>0</v>
      </c>
      <c r="U103" s="732">
        <v>0</v>
      </c>
      <c r="V103" s="732">
        <v>0</v>
      </c>
      <c r="W103" s="355" t="s">
        <v>1623</v>
      </c>
      <c r="X103" s="461" t="s">
        <v>866</v>
      </c>
      <c r="Y103" s="799" t="s">
        <v>562</v>
      </c>
      <c r="Z103" s="798" t="s">
        <v>829</v>
      </c>
      <c r="AA103" s="798" t="s">
        <v>829</v>
      </c>
    </row>
    <row r="104" spans="1:27" ht="25.5" x14ac:dyDescent="0.25">
      <c r="A104" s="64" t="s">
        <v>718</v>
      </c>
      <c r="B104" s="87" t="s">
        <v>794</v>
      </c>
      <c r="C104" s="5">
        <v>2019</v>
      </c>
      <c r="D104" s="5" t="s">
        <v>801</v>
      </c>
      <c r="E104" s="65" t="s">
        <v>76</v>
      </c>
      <c r="F104" s="65" t="s">
        <v>76</v>
      </c>
      <c r="G104" s="253" t="s">
        <v>662</v>
      </c>
      <c r="H104" s="14">
        <v>10599.735420000001</v>
      </c>
      <c r="I104" s="14">
        <v>0</v>
      </c>
      <c r="J104" s="677">
        <v>0</v>
      </c>
      <c r="K104" s="246">
        <v>0</v>
      </c>
      <c r="L104" s="1525">
        <v>0</v>
      </c>
      <c r="M104" s="27">
        <v>0</v>
      </c>
      <c r="N104" s="247">
        <v>0</v>
      </c>
      <c r="O104" s="15">
        <v>10599.735420000001</v>
      </c>
      <c r="P104" s="1747">
        <v>10599.735420000001</v>
      </c>
      <c r="Q104" s="488">
        <v>0</v>
      </c>
      <c r="R104" s="1715">
        <f t="shared" si="7"/>
        <v>10599.735420000001</v>
      </c>
      <c r="S104" s="3">
        <v>0</v>
      </c>
      <c r="T104" s="15">
        <v>0</v>
      </c>
      <c r="U104" s="16">
        <v>0</v>
      </c>
      <c r="V104" s="16">
        <v>0</v>
      </c>
      <c r="W104" s="121" t="s">
        <v>776</v>
      </c>
      <c r="X104" s="5" t="s">
        <v>46</v>
      </c>
      <c r="Y104" s="232" t="s">
        <v>881</v>
      </c>
      <c r="Z104" s="104" t="s">
        <v>829</v>
      </c>
      <c r="AA104" s="104" t="s">
        <v>828</v>
      </c>
    </row>
    <row r="105" spans="1:27" s="1412" customFormat="1" ht="25.5" x14ac:dyDescent="0.25">
      <c r="A105" s="728" t="s">
        <v>719</v>
      </c>
      <c r="B105" s="533" t="s">
        <v>1560</v>
      </c>
      <c r="C105" s="461">
        <v>2019</v>
      </c>
      <c r="D105" s="461" t="s">
        <v>801</v>
      </c>
      <c r="E105" s="730" t="s">
        <v>76</v>
      </c>
      <c r="F105" s="730" t="s">
        <v>76</v>
      </c>
      <c r="G105" s="866" t="s">
        <v>663</v>
      </c>
      <c r="H105" s="462">
        <v>6618.7232100000001</v>
      </c>
      <c r="I105" s="462">
        <v>0</v>
      </c>
      <c r="J105" s="1439">
        <v>6630</v>
      </c>
      <c r="K105" s="1174">
        <v>6618.7232100000001</v>
      </c>
      <c r="L105" s="1527">
        <v>0</v>
      </c>
      <c r="M105" s="733">
        <v>0</v>
      </c>
      <c r="N105" s="734">
        <v>0</v>
      </c>
      <c r="O105" s="735">
        <v>0</v>
      </c>
      <c r="P105" s="1771">
        <f>6630-6618.72321</f>
        <v>11.276789999999892</v>
      </c>
      <c r="Q105" s="531">
        <f>P105*-1</f>
        <v>-11.276789999999892</v>
      </c>
      <c r="R105" s="1721">
        <f t="shared" si="7"/>
        <v>0</v>
      </c>
      <c r="S105" s="867">
        <v>0</v>
      </c>
      <c r="T105" s="735">
        <v>0</v>
      </c>
      <c r="U105" s="732">
        <v>0</v>
      </c>
      <c r="V105" s="732">
        <v>0</v>
      </c>
      <c r="W105" s="714" t="s">
        <v>1624</v>
      </c>
      <c r="X105" s="461" t="s">
        <v>866</v>
      </c>
      <c r="Y105" s="799" t="s">
        <v>305</v>
      </c>
      <c r="Z105" s="798" t="s">
        <v>829</v>
      </c>
      <c r="AA105" s="798" t="s">
        <v>829</v>
      </c>
    </row>
    <row r="106" spans="1:27" ht="30" x14ac:dyDescent="0.25">
      <c r="A106" s="849" t="s">
        <v>720</v>
      </c>
      <c r="B106" s="850" t="s">
        <v>794</v>
      </c>
      <c r="C106" s="553">
        <v>2019</v>
      </c>
      <c r="D106" s="553" t="s">
        <v>801</v>
      </c>
      <c r="E106" s="851" t="s">
        <v>76</v>
      </c>
      <c r="F106" s="851" t="s">
        <v>76</v>
      </c>
      <c r="G106" s="868" t="s">
        <v>664</v>
      </c>
      <c r="H106" s="767">
        <v>60080</v>
      </c>
      <c r="I106" s="767">
        <v>0</v>
      </c>
      <c r="J106" s="767">
        <v>0</v>
      </c>
      <c r="K106" s="862">
        <v>0</v>
      </c>
      <c r="L106" s="1524">
        <v>0</v>
      </c>
      <c r="M106" s="756">
        <v>0</v>
      </c>
      <c r="N106" s="841"/>
      <c r="O106" s="857">
        <v>30000</v>
      </c>
      <c r="P106" s="770">
        <v>0</v>
      </c>
      <c r="Q106" s="1144">
        <v>30000</v>
      </c>
      <c r="R106" s="1466">
        <f t="shared" si="7"/>
        <v>30000</v>
      </c>
      <c r="S106" s="856">
        <v>0</v>
      </c>
      <c r="T106" s="857">
        <v>0</v>
      </c>
      <c r="U106" s="756">
        <v>30080</v>
      </c>
      <c r="V106" s="855">
        <v>0</v>
      </c>
      <c r="W106" s="840" t="s">
        <v>1625</v>
      </c>
      <c r="X106" s="553" t="s">
        <v>14</v>
      </c>
      <c r="Y106" s="775" t="s">
        <v>883</v>
      </c>
      <c r="Z106" s="774" t="s">
        <v>828</v>
      </c>
      <c r="AA106" s="774" t="s">
        <v>828</v>
      </c>
    </row>
    <row r="107" spans="1:27" ht="26.25" thickBot="1" x14ac:dyDescent="0.3">
      <c r="A107" s="869" t="s">
        <v>721</v>
      </c>
      <c r="B107" s="870" t="s">
        <v>1505</v>
      </c>
      <c r="C107" s="871">
        <v>2019</v>
      </c>
      <c r="D107" s="871" t="s">
        <v>801</v>
      </c>
      <c r="E107" s="872" t="s">
        <v>76</v>
      </c>
      <c r="F107" s="872" t="s">
        <v>76</v>
      </c>
      <c r="G107" s="873" t="s">
        <v>665</v>
      </c>
      <c r="H107" s="874">
        <v>11042</v>
      </c>
      <c r="I107" s="874">
        <v>0</v>
      </c>
      <c r="J107" s="874">
        <v>11042.24756</v>
      </c>
      <c r="K107" s="1209">
        <f>10230.96765+21.78</f>
        <v>10252.747650000001</v>
      </c>
      <c r="L107" s="1532">
        <f>811.03235-21.78</f>
        <v>789.25234999999998</v>
      </c>
      <c r="M107" s="877">
        <v>0</v>
      </c>
      <c r="N107" s="878">
        <v>0</v>
      </c>
      <c r="O107" s="879">
        <v>0</v>
      </c>
      <c r="P107" s="876">
        <f>811.03235-21.78</f>
        <v>789.25234999999998</v>
      </c>
      <c r="Q107" s="1788">
        <v>0</v>
      </c>
      <c r="R107" s="1717">
        <f t="shared" si="7"/>
        <v>789.25234999999998</v>
      </c>
      <c r="S107" s="880">
        <v>0</v>
      </c>
      <c r="T107" s="879">
        <v>0</v>
      </c>
      <c r="U107" s="880">
        <v>0</v>
      </c>
      <c r="V107" s="880">
        <v>0</v>
      </c>
      <c r="W107" s="1207" t="s">
        <v>1865</v>
      </c>
      <c r="X107" s="871" t="s">
        <v>46</v>
      </c>
      <c r="Y107" s="882" t="s">
        <v>854</v>
      </c>
      <c r="Z107" s="881" t="s">
        <v>829</v>
      </c>
      <c r="AA107" s="881" t="s">
        <v>829</v>
      </c>
    </row>
    <row r="108" spans="1:27" ht="25.5" x14ac:dyDescent="0.25">
      <c r="A108" s="858" t="s">
        <v>839</v>
      </c>
      <c r="B108" s="859" t="s">
        <v>794</v>
      </c>
      <c r="C108" s="551">
        <v>2019</v>
      </c>
      <c r="D108" s="553" t="s">
        <v>922</v>
      </c>
      <c r="E108" s="860" t="s">
        <v>80</v>
      </c>
      <c r="F108" s="883" t="s">
        <v>80</v>
      </c>
      <c r="G108" s="861" t="s">
        <v>840</v>
      </c>
      <c r="H108" s="751">
        <v>500</v>
      </c>
      <c r="I108" s="751">
        <v>0</v>
      </c>
      <c r="J108" s="751">
        <v>500</v>
      </c>
      <c r="K108" s="862">
        <v>0</v>
      </c>
      <c r="L108" s="1533">
        <v>500</v>
      </c>
      <c r="M108" s="885">
        <v>0</v>
      </c>
      <c r="N108" s="886">
        <v>0</v>
      </c>
      <c r="O108" s="864">
        <v>0</v>
      </c>
      <c r="P108" s="1789">
        <v>500</v>
      </c>
      <c r="Q108" s="1787">
        <v>0</v>
      </c>
      <c r="R108" s="1466">
        <f t="shared" si="7"/>
        <v>500</v>
      </c>
      <c r="S108" s="856">
        <v>0</v>
      </c>
      <c r="T108" s="864">
        <v>0</v>
      </c>
      <c r="U108" s="856">
        <v>0</v>
      </c>
      <c r="V108" s="856">
        <v>0</v>
      </c>
      <c r="W108" s="551" t="s">
        <v>1626</v>
      </c>
      <c r="X108" s="551" t="s">
        <v>14</v>
      </c>
      <c r="Y108" s="887" t="s">
        <v>977</v>
      </c>
      <c r="Z108" s="918" t="s">
        <v>828</v>
      </c>
      <c r="AA108" s="761" t="s">
        <v>828</v>
      </c>
    </row>
    <row r="109" spans="1:27" s="467" customFormat="1" ht="26.25" thickBot="1" x14ac:dyDescent="0.3">
      <c r="A109" s="201" t="s">
        <v>891</v>
      </c>
      <c r="B109" s="365" t="s">
        <v>1125</v>
      </c>
      <c r="C109" s="366">
        <v>2019</v>
      </c>
      <c r="D109" s="191" t="s">
        <v>922</v>
      </c>
      <c r="E109" s="377" t="s">
        <v>76</v>
      </c>
      <c r="F109" s="377" t="s">
        <v>76</v>
      </c>
      <c r="G109" s="378" t="s">
        <v>892</v>
      </c>
      <c r="H109" s="367">
        <v>1</v>
      </c>
      <c r="I109" s="204">
        <v>0</v>
      </c>
      <c r="J109" s="1445">
        <v>1</v>
      </c>
      <c r="K109" s="649">
        <v>1</v>
      </c>
      <c r="L109" s="396">
        <v>0</v>
      </c>
      <c r="M109" s="397">
        <v>0</v>
      </c>
      <c r="N109" s="503">
        <v>0</v>
      </c>
      <c r="O109" s="369">
        <v>0</v>
      </c>
      <c r="P109" s="1790">
        <v>0</v>
      </c>
      <c r="Q109" s="1791">
        <v>0</v>
      </c>
      <c r="R109" s="1720">
        <f t="shared" si="7"/>
        <v>0</v>
      </c>
      <c r="S109" s="368">
        <v>0</v>
      </c>
      <c r="T109" s="369">
        <v>0</v>
      </c>
      <c r="U109" s="368">
        <v>0</v>
      </c>
      <c r="V109" s="368">
        <v>0</v>
      </c>
      <c r="W109" s="191" t="s">
        <v>896</v>
      </c>
      <c r="X109" s="71" t="s">
        <v>866</v>
      </c>
      <c r="Y109" s="359" t="s">
        <v>564</v>
      </c>
      <c r="Z109" s="407" t="s">
        <v>829</v>
      </c>
      <c r="AA109" s="407" t="s">
        <v>829</v>
      </c>
    </row>
    <row r="110" spans="1:27" ht="25.5" x14ac:dyDescent="0.25">
      <c r="A110" s="111" t="s">
        <v>1203</v>
      </c>
      <c r="B110" s="93" t="s">
        <v>794</v>
      </c>
      <c r="C110" s="55">
        <v>2019</v>
      </c>
      <c r="D110" s="4" t="s">
        <v>1963</v>
      </c>
      <c r="E110" s="89" t="s">
        <v>76</v>
      </c>
      <c r="F110" s="89" t="s">
        <v>76</v>
      </c>
      <c r="G110" s="520" t="s">
        <v>1172</v>
      </c>
      <c r="H110" s="51">
        <v>16179.99999</v>
      </c>
      <c r="I110" s="50">
        <v>0</v>
      </c>
      <c r="J110" s="1405">
        <v>0</v>
      </c>
      <c r="K110" s="246">
        <v>0</v>
      </c>
      <c r="L110" s="1534">
        <v>0</v>
      </c>
      <c r="M110" s="25">
        <v>0</v>
      </c>
      <c r="N110" s="333">
        <v>0</v>
      </c>
      <c r="O110" s="2">
        <v>6000</v>
      </c>
      <c r="P110" s="1792">
        <v>6000</v>
      </c>
      <c r="Q110" s="1793">
        <v>0</v>
      </c>
      <c r="R110" s="1715">
        <f t="shared" si="7"/>
        <v>6000</v>
      </c>
      <c r="S110" s="13">
        <v>0</v>
      </c>
      <c r="T110" s="99">
        <v>0</v>
      </c>
      <c r="U110" s="13">
        <v>10179.99999</v>
      </c>
      <c r="V110" s="13">
        <v>0</v>
      </c>
      <c r="W110" s="254" t="s">
        <v>776</v>
      </c>
      <c r="X110" s="55" t="s">
        <v>14</v>
      </c>
      <c r="Y110" s="522" t="s">
        <v>1171</v>
      </c>
      <c r="Z110" s="107" t="s">
        <v>828</v>
      </c>
      <c r="AA110" s="107" t="s">
        <v>828</v>
      </c>
    </row>
    <row r="111" spans="1:27" s="467" customFormat="1" ht="25.5" x14ac:dyDescent="0.25">
      <c r="A111" s="136" t="s">
        <v>1204</v>
      </c>
      <c r="B111" s="116" t="s">
        <v>794</v>
      </c>
      <c r="C111" s="68">
        <v>2019</v>
      </c>
      <c r="D111" s="76" t="s">
        <v>1963</v>
      </c>
      <c r="E111" s="69" t="s">
        <v>76</v>
      </c>
      <c r="F111" s="69" t="s">
        <v>76</v>
      </c>
      <c r="G111" s="157" t="s">
        <v>1173</v>
      </c>
      <c r="H111" s="375">
        <v>0</v>
      </c>
      <c r="I111" s="19">
        <v>0</v>
      </c>
      <c r="J111" s="1428">
        <v>0</v>
      </c>
      <c r="K111" s="648">
        <v>0</v>
      </c>
      <c r="L111" s="335">
        <v>0</v>
      </c>
      <c r="M111" s="37">
        <v>0</v>
      </c>
      <c r="N111" s="255">
        <v>0</v>
      </c>
      <c r="O111" s="20">
        <v>0</v>
      </c>
      <c r="P111" s="1731">
        <v>33844.945160000003</v>
      </c>
      <c r="Q111" s="492">
        <v>-33844.945160000003</v>
      </c>
      <c r="R111" s="1719">
        <f t="shared" ref="R111:R174" si="8">P111+Q111</f>
        <v>0</v>
      </c>
      <c r="S111" s="21">
        <v>0</v>
      </c>
      <c r="T111" s="37">
        <v>0</v>
      </c>
      <c r="U111" s="21">
        <v>0</v>
      </c>
      <c r="V111" s="21">
        <v>0</v>
      </c>
      <c r="W111" s="293" t="s">
        <v>1944</v>
      </c>
      <c r="X111" s="68" t="s">
        <v>836</v>
      </c>
      <c r="Y111" s="391" t="s">
        <v>305</v>
      </c>
      <c r="Z111" s="67" t="s">
        <v>829</v>
      </c>
      <c r="AA111" s="67" t="s">
        <v>828</v>
      </c>
    </row>
    <row r="112" spans="1:27" s="467" customFormat="1" ht="27" customHeight="1" x14ac:dyDescent="0.25">
      <c r="A112" s="136" t="s">
        <v>1205</v>
      </c>
      <c r="B112" s="116" t="s">
        <v>794</v>
      </c>
      <c r="C112" s="68">
        <v>2019</v>
      </c>
      <c r="D112" s="76" t="s">
        <v>1963</v>
      </c>
      <c r="E112" s="69" t="s">
        <v>76</v>
      </c>
      <c r="F112" s="69" t="s">
        <v>76</v>
      </c>
      <c r="G112" s="157" t="s">
        <v>1174</v>
      </c>
      <c r="H112" s="375">
        <v>0</v>
      </c>
      <c r="I112" s="19">
        <v>0</v>
      </c>
      <c r="J112" s="1428">
        <v>0</v>
      </c>
      <c r="K112" s="648">
        <v>0</v>
      </c>
      <c r="L112" s="335">
        <v>0</v>
      </c>
      <c r="M112" s="37">
        <v>0</v>
      </c>
      <c r="N112" s="255">
        <v>0</v>
      </c>
      <c r="O112" s="20">
        <v>0</v>
      </c>
      <c r="P112" s="1731">
        <v>23489.143230000001</v>
      </c>
      <c r="Q112" s="492">
        <v>-23489.143230000001</v>
      </c>
      <c r="R112" s="1719">
        <f t="shared" si="8"/>
        <v>0</v>
      </c>
      <c r="S112" s="21">
        <v>0</v>
      </c>
      <c r="T112" s="37">
        <v>0</v>
      </c>
      <c r="U112" s="21">
        <v>0</v>
      </c>
      <c r="V112" s="21">
        <v>0</v>
      </c>
      <c r="W112" s="293" t="s">
        <v>1945</v>
      </c>
      <c r="X112" s="68" t="s">
        <v>836</v>
      </c>
      <c r="Y112" s="391" t="s">
        <v>305</v>
      </c>
      <c r="Z112" s="67" t="s">
        <v>829</v>
      </c>
      <c r="AA112" s="67" t="s">
        <v>828</v>
      </c>
    </row>
    <row r="113" spans="1:27" ht="45" x14ac:dyDescent="0.25">
      <c r="A113" s="64" t="s">
        <v>1206</v>
      </c>
      <c r="B113" s="87" t="s">
        <v>794</v>
      </c>
      <c r="C113" s="5">
        <v>2019</v>
      </c>
      <c r="D113" s="4" t="s">
        <v>1963</v>
      </c>
      <c r="E113" s="65" t="s">
        <v>76</v>
      </c>
      <c r="F113" s="65" t="s">
        <v>76</v>
      </c>
      <c r="G113" s="505" t="s">
        <v>1175</v>
      </c>
      <c r="H113" s="11">
        <v>12000</v>
      </c>
      <c r="I113" s="14">
        <v>0</v>
      </c>
      <c r="J113" s="677">
        <v>0</v>
      </c>
      <c r="K113" s="246">
        <v>0</v>
      </c>
      <c r="L113" s="1525">
        <v>0</v>
      </c>
      <c r="M113" s="27">
        <v>0</v>
      </c>
      <c r="N113" s="247">
        <v>5000</v>
      </c>
      <c r="O113" s="15">
        <v>0</v>
      </c>
      <c r="P113" s="1794">
        <v>5000</v>
      </c>
      <c r="Q113" s="491">
        <v>0</v>
      </c>
      <c r="R113" s="1715">
        <f t="shared" si="8"/>
        <v>5000</v>
      </c>
      <c r="S113" s="16">
        <v>0</v>
      </c>
      <c r="T113" s="27">
        <v>0</v>
      </c>
      <c r="U113" s="16">
        <v>7000</v>
      </c>
      <c r="V113" s="16">
        <v>0</v>
      </c>
      <c r="W113" s="74" t="s">
        <v>776</v>
      </c>
      <c r="X113" s="5" t="s">
        <v>20</v>
      </c>
      <c r="Y113" s="308" t="s">
        <v>881</v>
      </c>
      <c r="Z113" s="104" t="s">
        <v>828</v>
      </c>
      <c r="AA113" s="104" t="s">
        <v>828</v>
      </c>
    </row>
    <row r="114" spans="1:27" ht="33.75" customHeight="1" x14ac:dyDescent="0.25">
      <c r="A114" s="64" t="s">
        <v>1207</v>
      </c>
      <c r="B114" s="87" t="s">
        <v>794</v>
      </c>
      <c r="C114" s="5">
        <v>2019</v>
      </c>
      <c r="D114" s="4" t="s">
        <v>1963</v>
      </c>
      <c r="E114" s="65" t="s">
        <v>76</v>
      </c>
      <c r="F114" s="65" t="s">
        <v>76</v>
      </c>
      <c r="G114" s="505" t="s">
        <v>1176</v>
      </c>
      <c r="H114" s="11">
        <v>80000</v>
      </c>
      <c r="I114" s="14">
        <v>0</v>
      </c>
      <c r="J114" s="677">
        <v>0</v>
      </c>
      <c r="K114" s="246">
        <v>0</v>
      </c>
      <c r="L114" s="1525">
        <v>0</v>
      </c>
      <c r="M114" s="247">
        <v>5000</v>
      </c>
      <c r="N114" s="247">
        <v>5000</v>
      </c>
      <c r="O114" s="15">
        <v>5000</v>
      </c>
      <c r="P114" s="1794">
        <v>15000</v>
      </c>
      <c r="Q114" s="491">
        <v>0</v>
      </c>
      <c r="R114" s="1715">
        <f t="shared" si="8"/>
        <v>15000</v>
      </c>
      <c r="S114" s="16">
        <v>0</v>
      </c>
      <c r="T114" s="27">
        <v>0</v>
      </c>
      <c r="U114" s="16">
        <v>35000</v>
      </c>
      <c r="V114" s="16">
        <v>30000</v>
      </c>
      <c r="W114" s="74" t="s">
        <v>776</v>
      </c>
      <c r="X114" s="5" t="s">
        <v>20</v>
      </c>
      <c r="Y114" s="308" t="s">
        <v>881</v>
      </c>
      <c r="Z114" s="104" t="s">
        <v>828</v>
      </c>
      <c r="AA114" s="104" t="s">
        <v>828</v>
      </c>
    </row>
    <row r="115" spans="1:27" ht="28.5" customHeight="1" x14ac:dyDescent="0.25">
      <c r="A115" s="849" t="s">
        <v>1208</v>
      </c>
      <c r="B115" s="850" t="s">
        <v>794</v>
      </c>
      <c r="C115" s="553">
        <v>2019</v>
      </c>
      <c r="D115" s="551" t="s">
        <v>1963</v>
      </c>
      <c r="E115" s="851" t="s">
        <v>76</v>
      </c>
      <c r="F115" s="851" t="s">
        <v>76</v>
      </c>
      <c r="G115" s="888" t="s">
        <v>1177</v>
      </c>
      <c r="H115" s="768">
        <v>6170.1018800000002</v>
      </c>
      <c r="I115" s="767">
        <v>0</v>
      </c>
      <c r="J115" s="767">
        <v>0</v>
      </c>
      <c r="K115" s="862">
        <v>0</v>
      </c>
      <c r="L115" s="1524">
        <v>0</v>
      </c>
      <c r="M115" s="756">
        <v>0</v>
      </c>
      <c r="N115" s="841">
        <v>0</v>
      </c>
      <c r="O115" s="857">
        <v>4170.1018800000002</v>
      </c>
      <c r="P115" s="778">
        <v>6170.1018800000002</v>
      </c>
      <c r="Q115" s="853">
        <v>-2000</v>
      </c>
      <c r="R115" s="1466">
        <f t="shared" si="8"/>
        <v>4170.1018800000002</v>
      </c>
      <c r="S115" s="855">
        <v>0</v>
      </c>
      <c r="T115" s="756">
        <v>0</v>
      </c>
      <c r="U115" s="889">
        <v>2000</v>
      </c>
      <c r="V115" s="855">
        <v>0</v>
      </c>
      <c r="W115" s="840" t="s">
        <v>1627</v>
      </c>
      <c r="X115" s="553" t="s">
        <v>14</v>
      </c>
      <c r="Y115" s="891" t="s">
        <v>1171</v>
      </c>
      <c r="Z115" s="774" t="s">
        <v>828</v>
      </c>
      <c r="AA115" s="774" t="s">
        <v>828</v>
      </c>
    </row>
    <row r="116" spans="1:27" s="470" customFormat="1" ht="28.5" customHeight="1" x14ac:dyDescent="0.25">
      <c r="A116" s="892" t="s">
        <v>1209</v>
      </c>
      <c r="B116" s="893" t="s">
        <v>794</v>
      </c>
      <c r="C116" s="580">
        <v>2019</v>
      </c>
      <c r="D116" s="894" t="s">
        <v>1963</v>
      </c>
      <c r="E116" s="895" t="s">
        <v>76</v>
      </c>
      <c r="F116" s="895" t="s">
        <v>76</v>
      </c>
      <c r="G116" s="896" t="s">
        <v>1178</v>
      </c>
      <c r="H116" s="784">
        <v>11047</v>
      </c>
      <c r="I116" s="783">
        <v>0</v>
      </c>
      <c r="J116" s="783">
        <v>0</v>
      </c>
      <c r="K116" s="1435">
        <v>0</v>
      </c>
      <c r="L116" s="1526">
        <v>0</v>
      </c>
      <c r="M116" s="786">
        <v>0</v>
      </c>
      <c r="N116" s="897">
        <v>0</v>
      </c>
      <c r="O116" s="1215">
        <v>5000</v>
      </c>
      <c r="P116" s="1453">
        <v>0</v>
      </c>
      <c r="Q116" s="1118">
        <v>5000</v>
      </c>
      <c r="R116" s="1726">
        <f t="shared" si="8"/>
        <v>5000</v>
      </c>
      <c r="S116" s="900">
        <v>0</v>
      </c>
      <c r="T116" s="786">
        <v>0</v>
      </c>
      <c r="U116" s="898">
        <v>6047</v>
      </c>
      <c r="V116" s="900">
        <v>0</v>
      </c>
      <c r="W116" s="901" t="s">
        <v>1628</v>
      </c>
      <c r="X116" s="580" t="s">
        <v>20</v>
      </c>
      <c r="Y116" s="902" t="s">
        <v>881</v>
      </c>
      <c r="Z116" s="791" t="s">
        <v>828</v>
      </c>
      <c r="AA116" s="791" t="s">
        <v>828</v>
      </c>
    </row>
    <row r="117" spans="1:27" ht="28.5" customHeight="1" x14ac:dyDescent="0.25">
      <c r="A117" s="64" t="s">
        <v>1210</v>
      </c>
      <c r="B117" s="87" t="s">
        <v>794</v>
      </c>
      <c r="C117" s="5">
        <v>2019</v>
      </c>
      <c r="D117" s="4" t="s">
        <v>1963</v>
      </c>
      <c r="E117" s="65" t="s">
        <v>76</v>
      </c>
      <c r="F117" s="65" t="s">
        <v>76</v>
      </c>
      <c r="G117" s="505" t="s">
        <v>1179</v>
      </c>
      <c r="H117" s="11">
        <v>50000</v>
      </c>
      <c r="I117" s="14">
        <v>0</v>
      </c>
      <c r="J117" s="677">
        <v>0</v>
      </c>
      <c r="K117" s="246">
        <v>0</v>
      </c>
      <c r="L117" s="1525">
        <v>0</v>
      </c>
      <c r="M117" s="27">
        <v>0</v>
      </c>
      <c r="N117" s="247">
        <v>0</v>
      </c>
      <c r="O117" s="15">
        <v>0</v>
      </c>
      <c r="P117" s="1794">
        <v>0</v>
      </c>
      <c r="Q117" s="491">
        <v>0</v>
      </c>
      <c r="R117" s="1715">
        <f t="shared" si="8"/>
        <v>0</v>
      </c>
      <c r="S117" s="16">
        <v>0</v>
      </c>
      <c r="T117" s="27">
        <v>0</v>
      </c>
      <c r="U117" s="475">
        <v>50000</v>
      </c>
      <c r="V117" s="16">
        <v>0</v>
      </c>
      <c r="W117" s="74" t="s">
        <v>776</v>
      </c>
      <c r="X117" s="5" t="s">
        <v>20</v>
      </c>
      <c r="Y117" s="308" t="s">
        <v>881</v>
      </c>
      <c r="Z117" s="104" t="s">
        <v>828</v>
      </c>
      <c r="AA117" s="104" t="s">
        <v>828</v>
      </c>
    </row>
    <row r="118" spans="1:27" ht="28.5" customHeight="1" x14ac:dyDescent="0.25">
      <c r="A118" s="849" t="s">
        <v>1211</v>
      </c>
      <c r="B118" s="850" t="s">
        <v>794</v>
      </c>
      <c r="C118" s="553">
        <v>2019</v>
      </c>
      <c r="D118" s="551" t="s">
        <v>1963</v>
      </c>
      <c r="E118" s="851" t="s">
        <v>76</v>
      </c>
      <c r="F118" s="851" t="s">
        <v>76</v>
      </c>
      <c r="G118" s="903" t="s">
        <v>1629</v>
      </c>
      <c r="H118" s="768">
        <v>15250</v>
      </c>
      <c r="I118" s="767">
        <v>0</v>
      </c>
      <c r="J118" s="767">
        <v>0</v>
      </c>
      <c r="K118" s="862">
        <v>0</v>
      </c>
      <c r="L118" s="1524">
        <v>0</v>
      </c>
      <c r="M118" s="756">
        <v>0</v>
      </c>
      <c r="N118" s="841">
        <v>15250</v>
      </c>
      <c r="O118" s="857">
        <v>0</v>
      </c>
      <c r="P118" s="778">
        <v>0</v>
      </c>
      <c r="Q118" s="853">
        <v>15250</v>
      </c>
      <c r="R118" s="1466">
        <f t="shared" si="8"/>
        <v>15250</v>
      </c>
      <c r="S118" s="855">
        <v>0</v>
      </c>
      <c r="T118" s="756">
        <v>0</v>
      </c>
      <c r="U118" s="889">
        <v>0</v>
      </c>
      <c r="V118" s="855">
        <v>0</v>
      </c>
      <c r="W118" s="904" t="s">
        <v>1630</v>
      </c>
      <c r="X118" s="553" t="s">
        <v>14</v>
      </c>
      <c r="Y118" s="891" t="s">
        <v>881</v>
      </c>
      <c r="Z118" s="774" t="s">
        <v>828</v>
      </c>
      <c r="AA118" s="774" t="s">
        <v>828</v>
      </c>
    </row>
    <row r="119" spans="1:27" ht="28.5" customHeight="1" x14ac:dyDescent="0.25">
      <c r="A119" s="64" t="s">
        <v>1212</v>
      </c>
      <c r="B119" s="87" t="s">
        <v>794</v>
      </c>
      <c r="C119" s="5">
        <v>2019</v>
      </c>
      <c r="D119" s="4" t="s">
        <v>1963</v>
      </c>
      <c r="E119" s="65" t="s">
        <v>76</v>
      </c>
      <c r="F119" s="65" t="s">
        <v>76</v>
      </c>
      <c r="G119" s="505" t="s">
        <v>1180</v>
      </c>
      <c r="H119" s="11">
        <v>32757.505000000001</v>
      </c>
      <c r="I119" s="14">
        <v>0</v>
      </c>
      <c r="J119" s="677">
        <v>0</v>
      </c>
      <c r="K119" s="246">
        <v>0</v>
      </c>
      <c r="L119" s="1525">
        <v>0</v>
      </c>
      <c r="M119" s="27">
        <v>0</v>
      </c>
      <c r="N119" s="247">
        <v>0</v>
      </c>
      <c r="O119" s="15">
        <v>0</v>
      </c>
      <c r="P119" s="1794">
        <v>0</v>
      </c>
      <c r="Q119" s="491">
        <v>0</v>
      </c>
      <c r="R119" s="1715">
        <f t="shared" si="8"/>
        <v>0</v>
      </c>
      <c r="S119" s="16">
        <v>0</v>
      </c>
      <c r="T119" s="27">
        <v>0</v>
      </c>
      <c r="U119" s="475">
        <v>32757.505000000001</v>
      </c>
      <c r="V119" s="16">
        <v>0</v>
      </c>
      <c r="W119" s="74" t="s">
        <v>776</v>
      </c>
      <c r="X119" s="5" t="s">
        <v>20</v>
      </c>
      <c r="Y119" s="308" t="s">
        <v>881</v>
      </c>
      <c r="Z119" s="104" t="s">
        <v>828</v>
      </c>
      <c r="AA119" s="104" t="s">
        <v>828</v>
      </c>
    </row>
    <row r="120" spans="1:27" s="470" customFormat="1" ht="30" x14ac:dyDescent="0.25">
      <c r="A120" s="849" t="s">
        <v>1213</v>
      </c>
      <c r="B120" s="850" t="s">
        <v>794</v>
      </c>
      <c r="C120" s="553">
        <v>2019</v>
      </c>
      <c r="D120" s="551" t="s">
        <v>1963</v>
      </c>
      <c r="E120" s="851" t="s">
        <v>76</v>
      </c>
      <c r="F120" s="851" t="s">
        <v>76</v>
      </c>
      <c r="G120" s="903" t="s">
        <v>1181</v>
      </c>
      <c r="H120" s="768">
        <v>11948</v>
      </c>
      <c r="I120" s="767">
        <v>0</v>
      </c>
      <c r="J120" s="767">
        <v>0</v>
      </c>
      <c r="K120" s="862">
        <v>0</v>
      </c>
      <c r="L120" s="1524">
        <v>0</v>
      </c>
      <c r="M120" s="756">
        <v>0</v>
      </c>
      <c r="N120" s="841">
        <v>0</v>
      </c>
      <c r="O120" s="905">
        <v>11948</v>
      </c>
      <c r="P120" s="778">
        <v>0</v>
      </c>
      <c r="Q120" s="853">
        <v>11948</v>
      </c>
      <c r="R120" s="1466">
        <f t="shared" si="8"/>
        <v>11948</v>
      </c>
      <c r="S120" s="855">
        <v>0</v>
      </c>
      <c r="T120" s="756">
        <v>0</v>
      </c>
      <c r="U120" s="889">
        <v>0</v>
      </c>
      <c r="V120" s="855">
        <v>0</v>
      </c>
      <c r="W120" s="904" t="s">
        <v>1631</v>
      </c>
      <c r="X120" s="553" t="s">
        <v>46</v>
      </c>
      <c r="Y120" s="891" t="s">
        <v>881</v>
      </c>
      <c r="Z120" s="774" t="s">
        <v>829</v>
      </c>
      <c r="AA120" s="774" t="s">
        <v>829</v>
      </c>
    </row>
    <row r="121" spans="1:27" ht="27.75" customHeight="1" x14ac:dyDescent="0.25">
      <c r="A121" s="64" t="s">
        <v>1214</v>
      </c>
      <c r="B121" s="87" t="s">
        <v>794</v>
      </c>
      <c r="C121" s="5">
        <v>2019</v>
      </c>
      <c r="D121" s="4" t="s">
        <v>1963</v>
      </c>
      <c r="E121" s="65" t="s">
        <v>76</v>
      </c>
      <c r="F121" s="65" t="s">
        <v>76</v>
      </c>
      <c r="G121" s="505" t="s">
        <v>1182</v>
      </c>
      <c r="H121" s="11">
        <v>10774</v>
      </c>
      <c r="I121" s="14">
        <v>0</v>
      </c>
      <c r="J121" s="677">
        <v>0</v>
      </c>
      <c r="K121" s="246">
        <v>0</v>
      </c>
      <c r="L121" s="1525">
        <v>0</v>
      </c>
      <c r="M121" s="27">
        <v>0</v>
      </c>
      <c r="N121" s="247">
        <v>0</v>
      </c>
      <c r="O121" s="15">
        <v>0</v>
      </c>
      <c r="P121" s="1794">
        <v>0</v>
      </c>
      <c r="Q121" s="491">
        <v>0</v>
      </c>
      <c r="R121" s="1715">
        <f t="shared" si="8"/>
        <v>0</v>
      </c>
      <c r="S121" s="16">
        <v>0</v>
      </c>
      <c r="T121" s="27">
        <v>0</v>
      </c>
      <c r="U121" s="475">
        <v>10774</v>
      </c>
      <c r="V121" s="16">
        <v>0</v>
      </c>
      <c r="W121" s="74" t="s">
        <v>776</v>
      </c>
      <c r="X121" s="5" t="s">
        <v>20</v>
      </c>
      <c r="Y121" s="308" t="s">
        <v>881</v>
      </c>
      <c r="Z121" s="104" t="s">
        <v>828</v>
      </c>
      <c r="AA121" s="104" t="s">
        <v>828</v>
      </c>
    </row>
    <row r="122" spans="1:27" s="470" customFormat="1" ht="27.75" customHeight="1" x14ac:dyDescent="0.25">
      <c r="A122" s="64" t="s">
        <v>1215</v>
      </c>
      <c r="B122" s="87" t="s">
        <v>794</v>
      </c>
      <c r="C122" s="5">
        <v>2019</v>
      </c>
      <c r="D122" s="4" t="s">
        <v>1963</v>
      </c>
      <c r="E122" s="65" t="s">
        <v>76</v>
      </c>
      <c r="F122" s="65" t="s">
        <v>76</v>
      </c>
      <c r="G122" s="505" t="s">
        <v>1183</v>
      </c>
      <c r="H122" s="11">
        <v>9478</v>
      </c>
      <c r="I122" s="14">
        <v>0</v>
      </c>
      <c r="J122" s="677">
        <v>0</v>
      </c>
      <c r="K122" s="246">
        <v>0</v>
      </c>
      <c r="L122" s="1525">
        <v>0</v>
      </c>
      <c r="M122" s="27">
        <v>0</v>
      </c>
      <c r="N122" s="247">
        <v>0</v>
      </c>
      <c r="O122" s="15">
        <v>0</v>
      </c>
      <c r="P122" s="1794">
        <v>0</v>
      </c>
      <c r="Q122" s="491">
        <v>0</v>
      </c>
      <c r="R122" s="1715">
        <f t="shared" si="8"/>
        <v>0</v>
      </c>
      <c r="S122" s="16">
        <v>0</v>
      </c>
      <c r="T122" s="27">
        <v>0</v>
      </c>
      <c r="U122" s="475">
        <v>9478</v>
      </c>
      <c r="V122" s="16">
        <v>0</v>
      </c>
      <c r="W122" s="74" t="s">
        <v>776</v>
      </c>
      <c r="X122" s="5" t="s">
        <v>20</v>
      </c>
      <c r="Y122" s="308" t="s">
        <v>881</v>
      </c>
      <c r="Z122" s="104" t="s">
        <v>828</v>
      </c>
      <c r="AA122" s="104" t="s">
        <v>828</v>
      </c>
    </row>
    <row r="123" spans="1:27" ht="27.75" customHeight="1" x14ac:dyDescent="0.25">
      <c r="A123" s="64" t="s">
        <v>1216</v>
      </c>
      <c r="B123" s="87" t="s">
        <v>794</v>
      </c>
      <c r="C123" s="5">
        <v>2019</v>
      </c>
      <c r="D123" s="4" t="s">
        <v>1963</v>
      </c>
      <c r="E123" s="65" t="s">
        <v>76</v>
      </c>
      <c r="F123" s="65" t="s">
        <v>76</v>
      </c>
      <c r="G123" s="505" t="s">
        <v>1184</v>
      </c>
      <c r="H123" s="11">
        <v>15816.711950000001</v>
      </c>
      <c r="I123" s="14">
        <v>0</v>
      </c>
      <c r="J123" s="677">
        <v>0</v>
      </c>
      <c r="K123" s="246">
        <v>0</v>
      </c>
      <c r="L123" s="1525">
        <v>0</v>
      </c>
      <c r="M123" s="27">
        <v>0</v>
      </c>
      <c r="N123" s="247">
        <v>0</v>
      </c>
      <c r="O123" s="15">
        <v>0</v>
      </c>
      <c r="P123" s="1794">
        <v>0</v>
      </c>
      <c r="Q123" s="491">
        <v>0</v>
      </c>
      <c r="R123" s="1715">
        <f t="shared" si="8"/>
        <v>0</v>
      </c>
      <c r="S123" s="16">
        <v>0</v>
      </c>
      <c r="T123" s="27">
        <v>0</v>
      </c>
      <c r="U123" s="475">
        <v>15816.711950000001</v>
      </c>
      <c r="V123" s="16">
        <v>0</v>
      </c>
      <c r="W123" s="74" t="s">
        <v>776</v>
      </c>
      <c r="X123" s="5" t="s">
        <v>20</v>
      </c>
      <c r="Y123" s="308" t="s">
        <v>881</v>
      </c>
      <c r="Z123" s="104" t="s">
        <v>828</v>
      </c>
      <c r="AA123" s="104" t="s">
        <v>828</v>
      </c>
    </row>
    <row r="124" spans="1:27" ht="27.75" customHeight="1" x14ac:dyDescent="0.25">
      <c r="A124" s="849" t="s">
        <v>1217</v>
      </c>
      <c r="B124" s="850" t="s">
        <v>794</v>
      </c>
      <c r="C124" s="553">
        <v>2019</v>
      </c>
      <c r="D124" s="551" t="s">
        <v>1963</v>
      </c>
      <c r="E124" s="851" t="s">
        <v>76</v>
      </c>
      <c r="F124" s="851" t="s">
        <v>76</v>
      </c>
      <c r="G124" s="903" t="s">
        <v>1185</v>
      </c>
      <c r="H124" s="768">
        <v>12100</v>
      </c>
      <c r="I124" s="767">
        <v>0</v>
      </c>
      <c r="J124" s="767">
        <v>0</v>
      </c>
      <c r="K124" s="862">
        <v>0</v>
      </c>
      <c r="L124" s="1524">
        <v>0</v>
      </c>
      <c r="M124" s="756">
        <v>0</v>
      </c>
      <c r="N124" s="841">
        <v>0</v>
      </c>
      <c r="O124" s="857">
        <v>12100</v>
      </c>
      <c r="P124" s="778">
        <v>0</v>
      </c>
      <c r="Q124" s="853">
        <v>12100</v>
      </c>
      <c r="R124" s="1466">
        <f t="shared" si="8"/>
        <v>12100</v>
      </c>
      <c r="S124" s="855">
        <v>0</v>
      </c>
      <c r="T124" s="756">
        <v>0</v>
      </c>
      <c r="U124" s="889">
        <v>0</v>
      </c>
      <c r="V124" s="855">
        <v>0</v>
      </c>
      <c r="W124" s="904" t="s">
        <v>1632</v>
      </c>
      <c r="X124" s="553" t="s">
        <v>20</v>
      </c>
      <c r="Y124" s="891" t="s">
        <v>881</v>
      </c>
      <c r="Z124" s="774" t="s">
        <v>828</v>
      </c>
      <c r="AA124" s="774" t="s">
        <v>828</v>
      </c>
    </row>
    <row r="125" spans="1:27" ht="27.75" customHeight="1" x14ac:dyDescent="0.25">
      <c r="A125" s="849" t="s">
        <v>1218</v>
      </c>
      <c r="B125" s="850" t="s">
        <v>794</v>
      </c>
      <c r="C125" s="553">
        <v>2019</v>
      </c>
      <c r="D125" s="551" t="s">
        <v>1963</v>
      </c>
      <c r="E125" s="851" t="s">
        <v>76</v>
      </c>
      <c r="F125" s="851" t="s">
        <v>76</v>
      </c>
      <c r="G125" s="903" t="s">
        <v>1186</v>
      </c>
      <c r="H125" s="768">
        <v>22990</v>
      </c>
      <c r="I125" s="767">
        <v>0</v>
      </c>
      <c r="J125" s="767">
        <v>0</v>
      </c>
      <c r="K125" s="862">
        <v>0</v>
      </c>
      <c r="L125" s="1524">
        <v>0</v>
      </c>
      <c r="M125" s="756">
        <v>0</v>
      </c>
      <c r="N125" s="841">
        <v>12990</v>
      </c>
      <c r="O125" s="857">
        <v>0</v>
      </c>
      <c r="P125" s="778">
        <v>0</v>
      </c>
      <c r="Q125" s="853">
        <v>12990</v>
      </c>
      <c r="R125" s="1466">
        <f t="shared" si="8"/>
        <v>12990</v>
      </c>
      <c r="S125" s="855">
        <v>0</v>
      </c>
      <c r="T125" s="756">
        <v>0</v>
      </c>
      <c r="U125" s="889">
        <v>10000</v>
      </c>
      <c r="V125" s="855">
        <v>0</v>
      </c>
      <c r="W125" s="904" t="s">
        <v>1633</v>
      </c>
      <c r="X125" s="553" t="s">
        <v>20</v>
      </c>
      <c r="Y125" s="891" t="s">
        <v>881</v>
      </c>
      <c r="Z125" s="774" t="s">
        <v>828</v>
      </c>
      <c r="AA125" s="774" t="s">
        <v>828</v>
      </c>
    </row>
    <row r="126" spans="1:27" ht="27.75" customHeight="1" x14ac:dyDescent="0.25">
      <c r="A126" s="849" t="s">
        <v>1219</v>
      </c>
      <c r="B126" s="850" t="s">
        <v>794</v>
      </c>
      <c r="C126" s="553">
        <v>2019</v>
      </c>
      <c r="D126" s="551" t="s">
        <v>1963</v>
      </c>
      <c r="E126" s="851" t="s">
        <v>76</v>
      </c>
      <c r="F126" s="851" t="s">
        <v>76</v>
      </c>
      <c r="G126" s="903" t="s">
        <v>1187</v>
      </c>
      <c r="H126" s="768">
        <v>33880</v>
      </c>
      <c r="I126" s="767">
        <v>0</v>
      </c>
      <c r="J126" s="767">
        <v>0</v>
      </c>
      <c r="K126" s="862">
        <v>0</v>
      </c>
      <c r="L126" s="1524">
        <v>0</v>
      </c>
      <c r="M126" s="756">
        <v>0</v>
      </c>
      <c r="N126" s="841">
        <v>23880</v>
      </c>
      <c r="O126" s="857">
        <v>0</v>
      </c>
      <c r="P126" s="778">
        <v>0</v>
      </c>
      <c r="Q126" s="853">
        <v>23880</v>
      </c>
      <c r="R126" s="1466">
        <f t="shared" si="8"/>
        <v>23880</v>
      </c>
      <c r="S126" s="855">
        <v>0</v>
      </c>
      <c r="T126" s="756">
        <v>0</v>
      </c>
      <c r="U126" s="889">
        <v>10000</v>
      </c>
      <c r="V126" s="855">
        <v>0</v>
      </c>
      <c r="W126" s="904" t="s">
        <v>1634</v>
      </c>
      <c r="X126" s="553" t="s">
        <v>20</v>
      </c>
      <c r="Y126" s="891" t="s">
        <v>881</v>
      </c>
      <c r="Z126" s="774" t="s">
        <v>828</v>
      </c>
      <c r="AA126" s="774" t="s">
        <v>828</v>
      </c>
    </row>
    <row r="127" spans="1:27" ht="27.75" customHeight="1" x14ac:dyDescent="0.25">
      <c r="A127" s="64" t="s">
        <v>1220</v>
      </c>
      <c r="B127" s="87" t="s">
        <v>794</v>
      </c>
      <c r="C127" s="5">
        <v>2019</v>
      </c>
      <c r="D127" s="4" t="s">
        <v>1963</v>
      </c>
      <c r="E127" s="65" t="s">
        <v>76</v>
      </c>
      <c r="F127" s="65" t="s">
        <v>76</v>
      </c>
      <c r="G127" s="505" t="s">
        <v>1188</v>
      </c>
      <c r="H127" s="11">
        <v>6338.78</v>
      </c>
      <c r="I127" s="14">
        <v>0</v>
      </c>
      <c r="J127" s="677">
        <v>0</v>
      </c>
      <c r="K127" s="246">
        <v>0</v>
      </c>
      <c r="L127" s="1525">
        <v>0</v>
      </c>
      <c r="M127" s="27">
        <v>0</v>
      </c>
      <c r="N127" s="247">
        <v>0</v>
      </c>
      <c r="O127" s="15">
        <v>0</v>
      </c>
      <c r="P127" s="1794">
        <v>0</v>
      </c>
      <c r="Q127" s="491">
        <v>0</v>
      </c>
      <c r="R127" s="1715">
        <f t="shared" si="8"/>
        <v>0</v>
      </c>
      <c r="S127" s="16">
        <v>0</v>
      </c>
      <c r="T127" s="27">
        <v>0</v>
      </c>
      <c r="U127" s="475">
        <v>6338.78</v>
      </c>
      <c r="V127" s="16">
        <v>0</v>
      </c>
      <c r="W127" s="74" t="s">
        <v>776</v>
      </c>
      <c r="X127" s="5" t="s">
        <v>20</v>
      </c>
      <c r="Y127" s="308" t="s">
        <v>881</v>
      </c>
      <c r="Z127" s="104" t="s">
        <v>828</v>
      </c>
      <c r="AA127" s="104" t="s">
        <v>828</v>
      </c>
    </row>
    <row r="128" spans="1:27" ht="27.75" customHeight="1" thickBot="1" x14ac:dyDescent="0.3">
      <c r="A128" s="869" t="s">
        <v>1221</v>
      </c>
      <c r="B128" s="870" t="s">
        <v>794</v>
      </c>
      <c r="C128" s="871">
        <v>2019</v>
      </c>
      <c r="D128" s="871" t="s">
        <v>1963</v>
      </c>
      <c r="E128" s="872" t="s">
        <v>76</v>
      </c>
      <c r="F128" s="872" t="s">
        <v>76</v>
      </c>
      <c r="G128" s="907" t="s">
        <v>1189</v>
      </c>
      <c r="H128" s="822">
        <v>41118</v>
      </c>
      <c r="I128" s="874">
        <v>0</v>
      </c>
      <c r="J128" s="874">
        <v>0</v>
      </c>
      <c r="K128" s="1209">
        <v>0</v>
      </c>
      <c r="L128" s="1532">
        <v>0</v>
      </c>
      <c r="M128" s="908">
        <v>0</v>
      </c>
      <c r="N128" s="878">
        <v>0</v>
      </c>
      <c r="O128" s="879">
        <v>20000</v>
      </c>
      <c r="P128" s="875">
        <v>0</v>
      </c>
      <c r="Q128" s="1209">
        <v>20000</v>
      </c>
      <c r="R128" s="1717">
        <f t="shared" si="8"/>
        <v>20000</v>
      </c>
      <c r="S128" s="880">
        <v>0</v>
      </c>
      <c r="T128" s="877">
        <v>0</v>
      </c>
      <c r="U128" s="909">
        <v>21118</v>
      </c>
      <c r="V128" s="880">
        <v>0</v>
      </c>
      <c r="W128" s="910" t="s">
        <v>1635</v>
      </c>
      <c r="X128" s="871" t="s">
        <v>20</v>
      </c>
      <c r="Y128" s="911" t="s">
        <v>859</v>
      </c>
      <c r="Z128" s="881" t="s">
        <v>828</v>
      </c>
      <c r="AA128" s="881" t="s">
        <v>828</v>
      </c>
    </row>
    <row r="129" spans="1:27" ht="30" x14ac:dyDescent="0.25">
      <c r="A129" s="858" t="s">
        <v>1231</v>
      </c>
      <c r="B129" s="859" t="s">
        <v>794</v>
      </c>
      <c r="C129" s="912">
        <v>2019</v>
      </c>
      <c r="D129" s="760" t="s">
        <v>1843</v>
      </c>
      <c r="E129" s="913" t="s">
        <v>76</v>
      </c>
      <c r="F129" s="860" t="s">
        <v>76</v>
      </c>
      <c r="G129" s="914" t="s">
        <v>1232</v>
      </c>
      <c r="H129" s="754">
        <v>52239</v>
      </c>
      <c r="I129" s="754">
        <v>0</v>
      </c>
      <c r="J129" s="751">
        <v>0</v>
      </c>
      <c r="K129" s="862">
        <v>0</v>
      </c>
      <c r="L129" s="1533">
        <v>500</v>
      </c>
      <c r="M129" s="916">
        <v>500</v>
      </c>
      <c r="N129" s="863">
        <v>0</v>
      </c>
      <c r="O129" s="864">
        <v>0</v>
      </c>
      <c r="P129" s="755">
        <v>0</v>
      </c>
      <c r="Q129" s="862">
        <v>1000</v>
      </c>
      <c r="R129" s="1466">
        <f t="shared" si="8"/>
        <v>1000</v>
      </c>
      <c r="S129" s="885">
        <v>0</v>
      </c>
      <c r="T129" s="856">
        <v>0</v>
      </c>
      <c r="U129" s="917">
        <v>51239</v>
      </c>
      <c r="V129" s="856"/>
      <c r="W129" s="904" t="s">
        <v>1636</v>
      </c>
      <c r="X129" s="551" t="s">
        <v>20</v>
      </c>
      <c r="Y129" s="887" t="s">
        <v>845</v>
      </c>
      <c r="Z129" s="918" t="s">
        <v>828</v>
      </c>
      <c r="AA129" s="918" t="s">
        <v>828</v>
      </c>
    </row>
    <row r="130" spans="1:27" ht="28.5" customHeight="1" x14ac:dyDescent="0.25">
      <c r="A130" s="849" t="s">
        <v>1233</v>
      </c>
      <c r="B130" s="850" t="s">
        <v>794</v>
      </c>
      <c r="C130" s="919">
        <v>2019</v>
      </c>
      <c r="D130" s="553" t="s">
        <v>1843</v>
      </c>
      <c r="E130" s="802" t="s">
        <v>76</v>
      </c>
      <c r="F130" s="851" t="s">
        <v>76</v>
      </c>
      <c r="G130" s="839" t="s">
        <v>1234</v>
      </c>
      <c r="H130" s="767">
        <v>21280</v>
      </c>
      <c r="I130" s="767">
        <v>0</v>
      </c>
      <c r="J130" s="767">
        <v>0</v>
      </c>
      <c r="K130" s="862">
        <v>0</v>
      </c>
      <c r="L130" s="777">
        <v>0</v>
      </c>
      <c r="M130" s="920">
        <v>10000</v>
      </c>
      <c r="N130" s="841">
        <v>0</v>
      </c>
      <c r="O130" s="857">
        <v>6280</v>
      </c>
      <c r="P130" s="778">
        <v>21280</v>
      </c>
      <c r="Q130" s="853">
        <v>-5000</v>
      </c>
      <c r="R130" s="1466">
        <f t="shared" si="8"/>
        <v>16280</v>
      </c>
      <c r="S130" s="756">
        <v>0</v>
      </c>
      <c r="T130" s="855">
        <v>0</v>
      </c>
      <c r="U130" s="890">
        <v>5000</v>
      </c>
      <c r="V130" s="855">
        <v>0</v>
      </c>
      <c r="W130" s="840" t="s">
        <v>1962</v>
      </c>
      <c r="X130" s="551" t="s">
        <v>20</v>
      </c>
      <c r="Y130" s="891" t="s">
        <v>883</v>
      </c>
      <c r="Z130" s="918" t="s">
        <v>828</v>
      </c>
      <c r="AA130" s="918" t="s">
        <v>828</v>
      </c>
    </row>
    <row r="131" spans="1:27" ht="30" x14ac:dyDescent="0.25">
      <c r="A131" s="849" t="s">
        <v>1235</v>
      </c>
      <c r="B131" s="850" t="s">
        <v>1866</v>
      </c>
      <c r="C131" s="919">
        <v>2019</v>
      </c>
      <c r="D131" s="553" t="s">
        <v>1843</v>
      </c>
      <c r="E131" s="802" t="s">
        <v>76</v>
      </c>
      <c r="F131" s="851" t="s">
        <v>76</v>
      </c>
      <c r="G131" s="839" t="s">
        <v>1637</v>
      </c>
      <c r="H131" s="767">
        <v>2373</v>
      </c>
      <c r="I131" s="767">
        <v>0</v>
      </c>
      <c r="J131" s="767">
        <v>2373</v>
      </c>
      <c r="K131" s="862">
        <v>1678.0346199999999</v>
      </c>
      <c r="L131" s="1524">
        <f>1678.03462+694.96538-1678.03462</f>
        <v>694.9653800000001</v>
      </c>
      <c r="M131" s="920">
        <v>0</v>
      </c>
      <c r="N131" s="841">
        <v>0</v>
      </c>
      <c r="O131" s="857">
        <v>0</v>
      </c>
      <c r="P131" s="778">
        <f>1678.03462+694.96538-1678.03462</f>
        <v>694.9653800000001</v>
      </c>
      <c r="Q131" s="853">
        <v>0</v>
      </c>
      <c r="R131" s="1466">
        <f t="shared" si="8"/>
        <v>694.9653800000001</v>
      </c>
      <c r="S131" s="756">
        <v>0</v>
      </c>
      <c r="T131" s="855">
        <v>0</v>
      </c>
      <c r="U131" s="890">
        <v>0</v>
      </c>
      <c r="V131" s="855">
        <v>0</v>
      </c>
      <c r="W131" s="919" t="s">
        <v>1867</v>
      </c>
      <c r="X131" s="553" t="s">
        <v>46</v>
      </c>
      <c r="Y131" s="891" t="s">
        <v>977</v>
      </c>
      <c r="Z131" s="774" t="s">
        <v>829</v>
      </c>
      <c r="AA131" s="774" t="s">
        <v>829</v>
      </c>
    </row>
    <row r="132" spans="1:27" s="467" customFormat="1" ht="29.25" customHeight="1" x14ac:dyDescent="0.25">
      <c r="A132" s="136" t="s">
        <v>1236</v>
      </c>
      <c r="B132" s="116" t="s">
        <v>1539</v>
      </c>
      <c r="C132" s="141">
        <v>2019</v>
      </c>
      <c r="D132" s="68" t="s">
        <v>1843</v>
      </c>
      <c r="E132" s="77" t="s">
        <v>76</v>
      </c>
      <c r="F132" s="69" t="s">
        <v>76</v>
      </c>
      <c r="G132" s="589" t="s">
        <v>1237</v>
      </c>
      <c r="H132" s="19">
        <v>2992.2816000000003</v>
      </c>
      <c r="I132" s="19">
        <v>0</v>
      </c>
      <c r="J132" s="1428">
        <v>2992.2816000000003</v>
      </c>
      <c r="K132" s="648">
        <v>2992.2815999999998</v>
      </c>
      <c r="L132" s="335">
        <v>0</v>
      </c>
      <c r="M132" s="471">
        <v>0</v>
      </c>
      <c r="N132" s="255">
        <v>0</v>
      </c>
      <c r="O132" s="20">
        <v>0</v>
      </c>
      <c r="P132" s="1731">
        <v>0</v>
      </c>
      <c r="Q132" s="492">
        <v>0</v>
      </c>
      <c r="R132" s="1719">
        <f t="shared" si="8"/>
        <v>0</v>
      </c>
      <c r="S132" s="37">
        <v>0</v>
      </c>
      <c r="T132" s="21">
        <v>0</v>
      </c>
      <c r="U132" s="922">
        <v>0</v>
      </c>
      <c r="V132" s="21">
        <v>0</v>
      </c>
      <c r="W132" s="141" t="s">
        <v>776</v>
      </c>
      <c r="X132" s="68" t="s">
        <v>866</v>
      </c>
      <c r="Y132" s="391" t="s">
        <v>562</v>
      </c>
      <c r="Z132" s="67" t="s">
        <v>829</v>
      </c>
      <c r="AA132" s="67" t="s">
        <v>829</v>
      </c>
    </row>
    <row r="133" spans="1:27" s="467" customFormat="1" ht="31.5" customHeight="1" x14ac:dyDescent="0.25">
      <c r="A133" s="136" t="s">
        <v>1238</v>
      </c>
      <c r="B133" s="118" t="s">
        <v>1538</v>
      </c>
      <c r="C133" s="141">
        <v>2019</v>
      </c>
      <c r="D133" s="68" t="s">
        <v>1843</v>
      </c>
      <c r="E133" s="77" t="s">
        <v>76</v>
      </c>
      <c r="F133" s="69" t="s">
        <v>76</v>
      </c>
      <c r="G133" s="589" t="s">
        <v>1239</v>
      </c>
      <c r="H133" s="19">
        <v>6775.6708799999997</v>
      </c>
      <c r="I133" s="19">
        <v>0</v>
      </c>
      <c r="J133" s="1428">
        <v>6775.6708799999997</v>
      </c>
      <c r="K133" s="648">
        <v>6775.6708799999997</v>
      </c>
      <c r="L133" s="335">
        <v>0</v>
      </c>
      <c r="M133" s="471">
        <v>0</v>
      </c>
      <c r="N133" s="255">
        <v>0</v>
      </c>
      <c r="O133" s="20">
        <v>0</v>
      </c>
      <c r="P133" s="1731">
        <v>0</v>
      </c>
      <c r="Q133" s="492">
        <v>0</v>
      </c>
      <c r="R133" s="1719">
        <f t="shared" si="8"/>
        <v>0</v>
      </c>
      <c r="S133" s="37">
        <v>0</v>
      </c>
      <c r="T133" s="21">
        <v>0</v>
      </c>
      <c r="U133" s="922">
        <v>0</v>
      </c>
      <c r="V133" s="21">
        <v>0</v>
      </c>
      <c r="W133" s="141" t="s">
        <v>776</v>
      </c>
      <c r="X133" s="68" t="s">
        <v>866</v>
      </c>
      <c r="Y133" s="391" t="s">
        <v>562</v>
      </c>
      <c r="Z133" s="67" t="s">
        <v>829</v>
      </c>
      <c r="AA133" s="67" t="s">
        <v>829</v>
      </c>
    </row>
    <row r="134" spans="1:27" s="467" customFormat="1" ht="28.5" customHeight="1" x14ac:dyDescent="0.25">
      <c r="A134" s="136" t="s">
        <v>1240</v>
      </c>
      <c r="B134" s="118" t="s">
        <v>1537</v>
      </c>
      <c r="C134" s="141">
        <v>2019</v>
      </c>
      <c r="D134" s="68" t="s">
        <v>1843</v>
      </c>
      <c r="E134" s="77" t="s">
        <v>76</v>
      </c>
      <c r="F134" s="69" t="s">
        <v>76</v>
      </c>
      <c r="G134" s="589" t="s">
        <v>1241</v>
      </c>
      <c r="H134" s="19">
        <v>6170.1241799999998</v>
      </c>
      <c r="I134" s="19">
        <v>0</v>
      </c>
      <c r="J134" s="1428">
        <v>6170.1241799999998</v>
      </c>
      <c r="K134" s="648">
        <v>6170.1241799999998</v>
      </c>
      <c r="L134" s="335">
        <v>0</v>
      </c>
      <c r="M134" s="471">
        <v>0</v>
      </c>
      <c r="N134" s="255">
        <v>0</v>
      </c>
      <c r="O134" s="20">
        <v>0</v>
      </c>
      <c r="P134" s="1731">
        <v>0</v>
      </c>
      <c r="Q134" s="492">
        <v>0</v>
      </c>
      <c r="R134" s="1719">
        <f t="shared" si="8"/>
        <v>0</v>
      </c>
      <c r="S134" s="37">
        <v>0</v>
      </c>
      <c r="T134" s="21">
        <v>0</v>
      </c>
      <c r="U134" s="922">
        <v>0</v>
      </c>
      <c r="V134" s="21">
        <v>0</v>
      </c>
      <c r="W134" s="141" t="s">
        <v>776</v>
      </c>
      <c r="X134" s="68" t="s">
        <v>866</v>
      </c>
      <c r="Y134" s="391" t="s">
        <v>562</v>
      </c>
      <c r="Z134" s="67" t="s">
        <v>829</v>
      </c>
      <c r="AA134" s="67" t="s">
        <v>829</v>
      </c>
    </row>
    <row r="135" spans="1:27" s="467" customFormat="1" ht="28.5" customHeight="1" x14ac:dyDescent="0.25">
      <c r="A135" s="136" t="s">
        <v>1242</v>
      </c>
      <c r="B135" s="118" t="s">
        <v>1536</v>
      </c>
      <c r="C135" s="141">
        <v>2019</v>
      </c>
      <c r="D135" s="68" t="s">
        <v>1843</v>
      </c>
      <c r="E135" s="77" t="s">
        <v>76</v>
      </c>
      <c r="F135" s="69" t="s">
        <v>76</v>
      </c>
      <c r="G135" s="589" t="s">
        <v>1243</v>
      </c>
      <c r="H135" s="19">
        <v>3881.1146899999999</v>
      </c>
      <c r="I135" s="19">
        <v>0</v>
      </c>
      <c r="J135" s="1428">
        <v>3881.1146899999999</v>
      </c>
      <c r="K135" s="648">
        <v>3881.1146899999999</v>
      </c>
      <c r="L135" s="335">
        <v>0</v>
      </c>
      <c r="M135" s="471">
        <v>0</v>
      </c>
      <c r="N135" s="255">
        <v>0</v>
      </c>
      <c r="O135" s="20">
        <v>0</v>
      </c>
      <c r="P135" s="1731">
        <v>0</v>
      </c>
      <c r="Q135" s="492">
        <v>0</v>
      </c>
      <c r="R135" s="1719">
        <f t="shared" si="8"/>
        <v>0</v>
      </c>
      <c r="S135" s="37">
        <v>0</v>
      </c>
      <c r="T135" s="21">
        <v>0</v>
      </c>
      <c r="U135" s="922">
        <v>0</v>
      </c>
      <c r="V135" s="21">
        <v>0</v>
      </c>
      <c r="W135" s="141" t="s">
        <v>776</v>
      </c>
      <c r="X135" s="68" t="s">
        <v>866</v>
      </c>
      <c r="Y135" s="391" t="s">
        <v>562</v>
      </c>
      <c r="Z135" s="67" t="s">
        <v>829</v>
      </c>
      <c r="AA135" s="67" t="s">
        <v>829</v>
      </c>
    </row>
    <row r="136" spans="1:27" s="467" customFormat="1" ht="28.5" customHeight="1" x14ac:dyDescent="0.25">
      <c r="A136" s="136" t="s">
        <v>1244</v>
      </c>
      <c r="B136" s="116" t="s">
        <v>1533</v>
      </c>
      <c r="C136" s="141">
        <v>2019</v>
      </c>
      <c r="D136" s="68" t="s">
        <v>1843</v>
      </c>
      <c r="E136" s="77" t="s">
        <v>76</v>
      </c>
      <c r="F136" s="69" t="s">
        <v>76</v>
      </c>
      <c r="G136" s="589" t="s">
        <v>1245</v>
      </c>
      <c r="H136" s="19">
        <v>6751.16608</v>
      </c>
      <c r="I136" s="19">
        <v>0</v>
      </c>
      <c r="J136" s="1428">
        <v>6751.16608</v>
      </c>
      <c r="K136" s="648">
        <v>6751.16608</v>
      </c>
      <c r="L136" s="335">
        <v>0</v>
      </c>
      <c r="M136" s="471">
        <v>0</v>
      </c>
      <c r="N136" s="255">
        <v>0</v>
      </c>
      <c r="O136" s="20">
        <v>0</v>
      </c>
      <c r="P136" s="1731">
        <v>0</v>
      </c>
      <c r="Q136" s="492">
        <f>P136*(-1)</f>
        <v>0</v>
      </c>
      <c r="R136" s="1719">
        <f t="shared" si="8"/>
        <v>0</v>
      </c>
      <c r="S136" s="37">
        <v>0</v>
      </c>
      <c r="T136" s="21">
        <v>0</v>
      </c>
      <c r="U136" s="922">
        <v>0</v>
      </c>
      <c r="V136" s="21">
        <v>0</v>
      </c>
      <c r="W136" s="141" t="s">
        <v>776</v>
      </c>
      <c r="X136" s="68" t="s">
        <v>866</v>
      </c>
      <c r="Y136" s="391" t="s">
        <v>562</v>
      </c>
      <c r="Z136" s="67" t="s">
        <v>829</v>
      </c>
      <c r="AA136" s="67" t="s">
        <v>829</v>
      </c>
    </row>
    <row r="137" spans="1:27" s="467" customFormat="1" ht="28.5" customHeight="1" x14ac:dyDescent="0.25">
      <c r="A137" s="136" t="s">
        <v>1246</v>
      </c>
      <c r="B137" s="118" t="s">
        <v>1531</v>
      </c>
      <c r="C137" s="141">
        <v>2019</v>
      </c>
      <c r="D137" s="68" t="s">
        <v>1843</v>
      </c>
      <c r="E137" s="77" t="s">
        <v>76</v>
      </c>
      <c r="F137" s="69" t="s">
        <v>76</v>
      </c>
      <c r="G137" s="589" t="s">
        <v>1247</v>
      </c>
      <c r="H137" s="19">
        <v>5895.0595000000003</v>
      </c>
      <c r="I137" s="19">
        <v>0</v>
      </c>
      <c r="J137" s="1428">
        <v>5968.9215300000005</v>
      </c>
      <c r="K137" s="648">
        <v>5895.0595000000003</v>
      </c>
      <c r="L137" s="335">
        <v>0</v>
      </c>
      <c r="M137" s="471">
        <v>0</v>
      </c>
      <c r="N137" s="255">
        <v>0</v>
      </c>
      <c r="O137" s="20">
        <v>0</v>
      </c>
      <c r="P137" s="1731">
        <f>73.86203</f>
        <v>73.862030000000004</v>
      </c>
      <c r="Q137" s="492">
        <v>-73.862030000000004</v>
      </c>
      <c r="R137" s="1719">
        <f t="shared" si="8"/>
        <v>0</v>
      </c>
      <c r="S137" s="37">
        <v>0</v>
      </c>
      <c r="T137" s="21">
        <v>0</v>
      </c>
      <c r="U137" s="922">
        <v>0</v>
      </c>
      <c r="V137" s="21">
        <v>0</v>
      </c>
      <c r="W137" s="141" t="s">
        <v>1638</v>
      </c>
      <c r="X137" s="68" t="s">
        <v>866</v>
      </c>
      <c r="Y137" s="391" t="s">
        <v>562</v>
      </c>
      <c r="Z137" s="67" t="s">
        <v>829</v>
      </c>
      <c r="AA137" s="67" t="s">
        <v>829</v>
      </c>
    </row>
    <row r="138" spans="1:27" s="467" customFormat="1" ht="28.5" customHeight="1" x14ac:dyDescent="0.25">
      <c r="A138" s="136" t="s">
        <v>1248</v>
      </c>
      <c r="B138" s="118" t="s">
        <v>1530</v>
      </c>
      <c r="C138" s="141">
        <v>2019</v>
      </c>
      <c r="D138" s="68" t="s">
        <v>1843</v>
      </c>
      <c r="E138" s="77" t="s">
        <v>76</v>
      </c>
      <c r="F138" s="69" t="s">
        <v>76</v>
      </c>
      <c r="G138" s="589" t="s">
        <v>1249</v>
      </c>
      <c r="H138" s="19">
        <v>7040.2724699999999</v>
      </c>
      <c r="I138" s="19">
        <v>0</v>
      </c>
      <c r="J138" s="1428">
        <v>7163.5654199999999</v>
      </c>
      <c r="K138" s="648">
        <v>7040.2724699999999</v>
      </c>
      <c r="L138" s="335">
        <v>0</v>
      </c>
      <c r="M138" s="471">
        <v>0</v>
      </c>
      <c r="N138" s="255">
        <v>0</v>
      </c>
      <c r="O138" s="20">
        <v>0</v>
      </c>
      <c r="P138" s="1731">
        <f>7163.56542-7040.27247</f>
        <v>123.29295000000002</v>
      </c>
      <c r="Q138" s="492">
        <f t="shared" ref="Q138:Q146" si="9">P138*(-1)</f>
        <v>-123.29295000000002</v>
      </c>
      <c r="R138" s="1719">
        <f t="shared" si="8"/>
        <v>0</v>
      </c>
      <c r="S138" s="37">
        <v>0</v>
      </c>
      <c r="T138" s="21">
        <v>0</v>
      </c>
      <c r="U138" s="922">
        <v>0</v>
      </c>
      <c r="V138" s="21">
        <v>0</v>
      </c>
      <c r="W138" s="141" t="s">
        <v>1639</v>
      </c>
      <c r="X138" s="68" t="s">
        <v>866</v>
      </c>
      <c r="Y138" s="391" t="s">
        <v>562</v>
      </c>
      <c r="Z138" s="67" t="s">
        <v>829</v>
      </c>
      <c r="AA138" s="67" t="s">
        <v>829</v>
      </c>
    </row>
    <row r="139" spans="1:27" s="467" customFormat="1" ht="30" customHeight="1" x14ac:dyDescent="0.25">
      <c r="A139" s="136" t="s">
        <v>1250</v>
      </c>
      <c r="B139" s="118" t="s">
        <v>1529</v>
      </c>
      <c r="C139" s="141">
        <v>2019</v>
      </c>
      <c r="D139" s="68" t="s">
        <v>1843</v>
      </c>
      <c r="E139" s="77" t="s">
        <v>76</v>
      </c>
      <c r="F139" s="69" t="s">
        <v>76</v>
      </c>
      <c r="G139" s="589" t="s">
        <v>1251</v>
      </c>
      <c r="H139" s="19">
        <v>7129.3492800000004</v>
      </c>
      <c r="I139" s="19">
        <v>0</v>
      </c>
      <c r="J139" s="1428">
        <v>7241.6927000000005</v>
      </c>
      <c r="K139" s="648">
        <v>7129.3492800000004</v>
      </c>
      <c r="L139" s="335">
        <v>0</v>
      </c>
      <c r="M139" s="471">
        <v>0</v>
      </c>
      <c r="N139" s="255">
        <v>0</v>
      </c>
      <c r="O139" s="20">
        <v>0</v>
      </c>
      <c r="P139" s="1731">
        <f>7241.6927-7129.34928</f>
        <v>112.34341999999924</v>
      </c>
      <c r="Q139" s="492">
        <f t="shared" si="9"/>
        <v>-112.34341999999924</v>
      </c>
      <c r="R139" s="1719">
        <f t="shared" si="8"/>
        <v>0</v>
      </c>
      <c r="S139" s="37">
        <v>0</v>
      </c>
      <c r="T139" s="21">
        <v>0</v>
      </c>
      <c r="U139" s="922">
        <v>0</v>
      </c>
      <c r="V139" s="21">
        <v>0</v>
      </c>
      <c r="W139" s="141" t="s">
        <v>1640</v>
      </c>
      <c r="X139" s="68" t="s">
        <v>866</v>
      </c>
      <c r="Y139" s="391" t="s">
        <v>562</v>
      </c>
      <c r="Z139" s="67" t="s">
        <v>829</v>
      </c>
      <c r="AA139" s="67" t="s">
        <v>829</v>
      </c>
    </row>
    <row r="140" spans="1:27" s="467" customFormat="1" ht="29.25" customHeight="1" x14ac:dyDescent="0.25">
      <c r="A140" s="136" t="s">
        <v>1252</v>
      </c>
      <c r="B140" s="118" t="s">
        <v>1541</v>
      </c>
      <c r="C140" s="141">
        <v>2019</v>
      </c>
      <c r="D140" s="68" t="s">
        <v>1843</v>
      </c>
      <c r="E140" s="77" t="s">
        <v>76</v>
      </c>
      <c r="F140" s="69" t="s">
        <v>76</v>
      </c>
      <c r="G140" s="589" t="s">
        <v>1253</v>
      </c>
      <c r="H140" s="19">
        <v>4536.4884400000001</v>
      </c>
      <c r="I140" s="19">
        <v>0</v>
      </c>
      <c r="J140" s="1428">
        <v>4637.77754</v>
      </c>
      <c r="K140" s="648">
        <v>4536.4884400000001</v>
      </c>
      <c r="L140" s="335">
        <v>0</v>
      </c>
      <c r="M140" s="471">
        <v>0</v>
      </c>
      <c r="N140" s="255">
        <v>0</v>
      </c>
      <c r="O140" s="20">
        <v>0</v>
      </c>
      <c r="P140" s="1731">
        <f>4637.77754-4536.48844</f>
        <v>101.28909999999996</v>
      </c>
      <c r="Q140" s="492">
        <f t="shared" si="9"/>
        <v>-101.28909999999996</v>
      </c>
      <c r="R140" s="1719">
        <f t="shared" si="8"/>
        <v>0</v>
      </c>
      <c r="S140" s="37">
        <v>0</v>
      </c>
      <c r="T140" s="21">
        <v>0</v>
      </c>
      <c r="U140" s="922">
        <v>0</v>
      </c>
      <c r="V140" s="21">
        <v>0</v>
      </c>
      <c r="W140" s="141" t="s">
        <v>1641</v>
      </c>
      <c r="X140" s="68" t="s">
        <v>866</v>
      </c>
      <c r="Y140" s="391" t="s">
        <v>562</v>
      </c>
      <c r="Z140" s="67" t="s">
        <v>829</v>
      </c>
      <c r="AA140" s="67" t="s">
        <v>829</v>
      </c>
    </row>
    <row r="141" spans="1:27" ht="29.25" customHeight="1" x14ac:dyDescent="0.25">
      <c r="A141" s="849" t="s">
        <v>1254</v>
      </c>
      <c r="B141" s="850" t="s">
        <v>1868</v>
      </c>
      <c r="C141" s="919">
        <v>2019</v>
      </c>
      <c r="D141" s="553" t="s">
        <v>1843</v>
      </c>
      <c r="E141" s="802" t="s">
        <v>76</v>
      </c>
      <c r="F141" s="851" t="s">
        <v>76</v>
      </c>
      <c r="G141" s="839" t="s">
        <v>1255</v>
      </c>
      <c r="H141" s="767">
        <v>6291.21108</v>
      </c>
      <c r="I141" s="767">
        <v>0</v>
      </c>
      <c r="J141" s="767">
        <v>6291.21108</v>
      </c>
      <c r="K141" s="862">
        <v>6023.3908899999997</v>
      </c>
      <c r="L141" s="1524">
        <f>6291.21108-6023.39089</f>
        <v>267.82019000000037</v>
      </c>
      <c r="M141" s="920">
        <v>0</v>
      </c>
      <c r="N141" s="841">
        <v>0</v>
      </c>
      <c r="O141" s="857">
        <v>0</v>
      </c>
      <c r="P141" s="778">
        <f>6291.21108-6023.39089</f>
        <v>267.82019000000037</v>
      </c>
      <c r="Q141" s="853">
        <v>0</v>
      </c>
      <c r="R141" s="1466">
        <f t="shared" si="8"/>
        <v>267.82019000000037</v>
      </c>
      <c r="S141" s="756">
        <v>0</v>
      </c>
      <c r="T141" s="855">
        <v>0</v>
      </c>
      <c r="U141" s="890">
        <v>0</v>
      </c>
      <c r="V141" s="855">
        <v>0</v>
      </c>
      <c r="W141" s="919" t="s">
        <v>1869</v>
      </c>
      <c r="X141" s="553" t="s">
        <v>46</v>
      </c>
      <c r="Y141" s="891" t="s">
        <v>883</v>
      </c>
      <c r="Z141" s="774" t="s">
        <v>829</v>
      </c>
      <c r="AA141" s="774" t="s">
        <v>829</v>
      </c>
    </row>
    <row r="142" spans="1:27" ht="31.5" customHeight="1" x14ac:dyDescent="0.25">
      <c r="A142" s="849" t="s">
        <v>1256</v>
      </c>
      <c r="B142" s="850" t="s">
        <v>1870</v>
      </c>
      <c r="C142" s="919">
        <v>2019</v>
      </c>
      <c r="D142" s="553" t="s">
        <v>1843</v>
      </c>
      <c r="E142" s="802" t="s">
        <v>76</v>
      </c>
      <c r="F142" s="851" t="s">
        <v>76</v>
      </c>
      <c r="G142" s="839" t="s">
        <v>1257</v>
      </c>
      <c r="H142" s="767">
        <v>4803.267304</v>
      </c>
      <c r="I142" s="767">
        <v>0</v>
      </c>
      <c r="J142" s="767">
        <v>4803.267304</v>
      </c>
      <c r="K142" s="862">
        <v>4533.2898699999996</v>
      </c>
      <c r="L142" s="1407">
        <f>4803.267304-4533.28987</f>
        <v>269.97743400000036</v>
      </c>
      <c r="M142" s="756">
        <v>0</v>
      </c>
      <c r="N142" s="841">
        <v>0</v>
      </c>
      <c r="O142" s="857">
        <v>0</v>
      </c>
      <c r="P142" s="778">
        <f>4803.267304-4533.28987</f>
        <v>269.97743400000036</v>
      </c>
      <c r="Q142" s="853">
        <v>0</v>
      </c>
      <c r="R142" s="1466">
        <f t="shared" si="8"/>
        <v>269.97743400000036</v>
      </c>
      <c r="S142" s="756">
        <v>0</v>
      </c>
      <c r="T142" s="855">
        <v>0</v>
      </c>
      <c r="U142" s="890">
        <v>0</v>
      </c>
      <c r="V142" s="855">
        <v>0</v>
      </c>
      <c r="W142" s="919" t="s">
        <v>1871</v>
      </c>
      <c r="X142" s="553" t="s">
        <v>46</v>
      </c>
      <c r="Y142" s="891" t="s">
        <v>883</v>
      </c>
      <c r="Z142" s="774" t="s">
        <v>829</v>
      </c>
      <c r="AA142" s="774" t="s">
        <v>829</v>
      </c>
    </row>
    <row r="143" spans="1:27" ht="30" x14ac:dyDescent="0.25">
      <c r="A143" s="849" t="s">
        <v>1258</v>
      </c>
      <c r="B143" s="850" t="s">
        <v>1872</v>
      </c>
      <c r="C143" s="919">
        <v>2019</v>
      </c>
      <c r="D143" s="553" t="s">
        <v>1843</v>
      </c>
      <c r="E143" s="802" t="s">
        <v>76</v>
      </c>
      <c r="F143" s="851" t="s">
        <v>76</v>
      </c>
      <c r="G143" s="839" t="s">
        <v>1259</v>
      </c>
      <c r="H143" s="767">
        <v>3603.4223500000003</v>
      </c>
      <c r="I143" s="767">
        <v>0</v>
      </c>
      <c r="J143" s="767">
        <v>3603.4223500000003</v>
      </c>
      <c r="K143" s="862">
        <v>3411.8975</v>
      </c>
      <c r="L143" s="1407">
        <f>3603.42235-3411.8975</f>
        <v>191.52484999999979</v>
      </c>
      <c r="M143" s="756">
        <v>0</v>
      </c>
      <c r="N143" s="841">
        <v>0</v>
      </c>
      <c r="O143" s="857">
        <v>0</v>
      </c>
      <c r="P143" s="778">
        <f>3603.42235-3411.8975</f>
        <v>191.52484999999979</v>
      </c>
      <c r="Q143" s="853">
        <v>0</v>
      </c>
      <c r="R143" s="1466">
        <f t="shared" si="8"/>
        <v>191.52484999999979</v>
      </c>
      <c r="S143" s="756">
        <v>0</v>
      </c>
      <c r="T143" s="855">
        <v>0</v>
      </c>
      <c r="U143" s="890">
        <v>0</v>
      </c>
      <c r="V143" s="855">
        <v>0</v>
      </c>
      <c r="W143" s="919" t="s">
        <v>1873</v>
      </c>
      <c r="X143" s="553" t="s">
        <v>46</v>
      </c>
      <c r="Y143" s="891" t="s">
        <v>883</v>
      </c>
      <c r="Z143" s="774" t="s">
        <v>829</v>
      </c>
      <c r="AA143" s="774" t="s">
        <v>829</v>
      </c>
    </row>
    <row r="144" spans="1:27" s="464" customFormat="1" ht="33.75" customHeight="1" x14ac:dyDescent="0.25">
      <c r="A144" s="728" t="s">
        <v>1260</v>
      </c>
      <c r="B144" s="1268" t="s">
        <v>1528</v>
      </c>
      <c r="C144" s="746">
        <v>2019</v>
      </c>
      <c r="D144" s="461" t="s">
        <v>1843</v>
      </c>
      <c r="E144" s="800" t="s">
        <v>76</v>
      </c>
      <c r="F144" s="730" t="s">
        <v>76</v>
      </c>
      <c r="G144" s="931" t="s">
        <v>1261</v>
      </c>
      <c r="H144" s="462">
        <v>7015.7129999999997</v>
      </c>
      <c r="I144" s="462">
        <v>0</v>
      </c>
      <c r="J144" s="1439">
        <v>7183.7094999999999</v>
      </c>
      <c r="K144" s="1174">
        <v>7015.7129999999997</v>
      </c>
      <c r="L144" s="1527">
        <v>0</v>
      </c>
      <c r="M144" s="736">
        <v>0</v>
      </c>
      <c r="N144" s="734">
        <v>0</v>
      </c>
      <c r="O144" s="735">
        <v>0</v>
      </c>
      <c r="P144" s="1795">
        <f>7183.7095-7015.713</f>
        <v>167.9965000000002</v>
      </c>
      <c r="Q144" s="1796">
        <f t="shared" si="9"/>
        <v>-167.9965000000002</v>
      </c>
      <c r="R144" s="1721">
        <f t="shared" si="8"/>
        <v>0</v>
      </c>
      <c r="S144" s="733">
        <v>0</v>
      </c>
      <c r="T144" s="732">
        <v>0</v>
      </c>
      <c r="U144" s="938">
        <v>0</v>
      </c>
      <c r="V144" s="732">
        <v>0</v>
      </c>
      <c r="W144" s="746" t="s">
        <v>1642</v>
      </c>
      <c r="X144" s="461" t="s">
        <v>866</v>
      </c>
      <c r="Y144" s="939" t="s">
        <v>562</v>
      </c>
      <c r="Z144" s="798" t="s">
        <v>829</v>
      </c>
      <c r="AA144" s="798" t="s">
        <v>829</v>
      </c>
    </row>
    <row r="145" spans="1:27" s="467" customFormat="1" ht="33.75" customHeight="1" x14ac:dyDescent="0.25">
      <c r="A145" s="136" t="s">
        <v>1262</v>
      </c>
      <c r="B145" s="118" t="s">
        <v>1540</v>
      </c>
      <c r="C145" s="141">
        <v>2019</v>
      </c>
      <c r="D145" s="68" t="s">
        <v>1843</v>
      </c>
      <c r="E145" s="77" t="s">
        <v>76</v>
      </c>
      <c r="F145" s="69" t="s">
        <v>76</v>
      </c>
      <c r="G145" s="589" t="s">
        <v>1263</v>
      </c>
      <c r="H145" s="19">
        <v>5269.7946500000007</v>
      </c>
      <c r="I145" s="19">
        <v>0</v>
      </c>
      <c r="J145" s="1428">
        <v>5269.7946500000007</v>
      </c>
      <c r="K145" s="648">
        <v>5269.7946499999998</v>
      </c>
      <c r="L145" s="335">
        <v>0</v>
      </c>
      <c r="M145" s="471">
        <v>0</v>
      </c>
      <c r="N145" s="255">
        <v>0</v>
      </c>
      <c r="O145" s="20">
        <v>0</v>
      </c>
      <c r="P145" s="1731">
        <v>0</v>
      </c>
      <c r="Q145" s="492">
        <f t="shared" si="9"/>
        <v>0</v>
      </c>
      <c r="R145" s="1719">
        <f t="shared" si="8"/>
        <v>0</v>
      </c>
      <c r="S145" s="37">
        <v>0</v>
      </c>
      <c r="T145" s="21">
        <v>0</v>
      </c>
      <c r="U145" s="922">
        <v>0</v>
      </c>
      <c r="V145" s="21">
        <v>0</v>
      </c>
      <c r="W145" s="141" t="s">
        <v>776</v>
      </c>
      <c r="X145" s="68" t="s">
        <v>866</v>
      </c>
      <c r="Y145" s="391" t="s">
        <v>562</v>
      </c>
      <c r="Z145" s="67" t="s">
        <v>829</v>
      </c>
      <c r="AA145" s="67" t="s">
        <v>829</v>
      </c>
    </row>
    <row r="146" spans="1:27" s="467" customFormat="1" ht="33.75" customHeight="1" x14ac:dyDescent="0.25">
      <c r="A146" s="136" t="s">
        <v>1264</v>
      </c>
      <c r="B146" s="118" t="s">
        <v>1527</v>
      </c>
      <c r="C146" s="141">
        <v>2019</v>
      </c>
      <c r="D146" s="68" t="s">
        <v>1843</v>
      </c>
      <c r="E146" s="77" t="s">
        <v>76</v>
      </c>
      <c r="F146" s="69" t="s">
        <v>76</v>
      </c>
      <c r="G146" s="589" t="s">
        <v>1265</v>
      </c>
      <c r="H146" s="19">
        <v>7785.7456300000003</v>
      </c>
      <c r="I146" s="19">
        <v>0</v>
      </c>
      <c r="J146" s="1428">
        <v>8330.5506459999997</v>
      </c>
      <c r="K146" s="648">
        <v>7785.7456300000003</v>
      </c>
      <c r="L146" s="335">
        <v>0</v>
      </c>
      <c r="M146" s="471">
        <v>0</v>
      </c>
      <c r="N146" s="255">
        <v>0</v>
      </c>
      <c r="O146" s="20">
        <v>0</v>
      </c>
      <c r="P146" s="1731">
        <f>8330.550646-7785.74563</f>
        <v>544.80501599999934</v>
      </c>
      <c r="Q146" s="492">
        <f t="shared" si="9"/>
        <v>-544.80501599999934</v>
      </c>
      <c r="R146" s="1719">
        <f t="shared" si="8"/>
        <v>0</v>
      </c>
      <c r="S146" s="37">
        <v>0</v>
      </c>
      <c r="T146" s="21">
        <v>0</v>
      </c>
      <c r="U146" s="922">
        <v>0</v>
      </c>
      <c r="V146" s="21">
        <v>0</v>
      </c>
      <c r="W146" s="141" t="s">
        <v>1643</v>
      </c>
      <c r="X146" s="68" t="s">
        <v>866</v>
      </c>
      <c r="Y146" s="391" t="s">
        <v>562</v>
      </c>
      <c r="Z146" s="67" t="s">
        <v>829</v>
      </c>
      <c r="AA146" s="67" t="s">
        <v>829</v>
      </c>
    </row>
    <row r="147" spans="1:27" ht="33.75" customHeight="1" x14ac:dyDescent="0.25">
      <c r="A147" s="849" t="s">
        <v>1266</v>
      </c>
      <c r="B147" s="850" t="s">
        <v>794</v>
      </c>
      <c r="C147" s="919">
        <v>2019</v>
      </c>
      <c r="D147" s="553" t="s">
        <v>1843</v>
      </c>
      <c r="E147" s="802" t="s">
        <v>76</v>
      </c>
      <c r="F147" s="851" t="s">
        <v>76</v>
      </c>
      <c r="G147" s="839" t="s">
        <v>1267</v>
      </c>
      <c r="H147" s="767">
        <v>18695.934209999999</v>
      </c>
      <c r="I147" s="767">
        <v>0</v>
      </c>
      <c r="J147" s="767">
        <v>18695.934209999999</v>
      </c>
      <c r="K147" s="862">
        <v>0</v>
      </c>
      <c r="L147" s="777">
        <v>0</v>
      </c>
      <c r="M147" s="923">
        <v>18695.934209999999</v>
      </c>
      <c r="N147" s="921">
        <v>0</v>
      </c>
      <c r="O147" s="857">
        <v>0</v>
      </c>
      <c r="P147" s="778">
        <v>18695.934209999999</v>
      </c>
      <c r="Q147" s="853">
        <v>0</v>
      </c>
      <c r="R147" s="1466">
        <f t="shared" si="8"/>
        <v>18695.934209999999</v>
      </c>
      <c r="S147" s="756">
        <v>0</v>
      </c>
      <c r="T147" s="855">
        <v>0</v>
      </c>
      <c r="U147" s="890">
        <v>0</v>
      </c>
      <c r="V147" s="855">
        <v>0</v>
      </c>
      <c r="W147" s="919" t="s">
        <v>1644</v>
      </c>
      <c r="X147" s="553" t="s">
        <v>46</v>
      </c>
      <c r="Y147" s="891" t="s">
        <v>925</v>
      </c>
      <c r="Z147" s="774" t="s">
        <v>829</v>
      </c>
      <c r="AA147" s="774" t="s">
        <v>829</v>
      </c>
    </row>
    <row r="148" spans="1:27" ht="33.75" customHeight="1" x14ac:dyDescent="0.25">
      <c r="A148" s="849" t="s">
        <v>1268</v>
      </c>
      <c r="B148" s="850" t="s">
        <v>794</v>
      </c>
      <c r="C148" s="919">
        <v>2019</v>
      </c>
      <c r="D148" s="553" t="s">
        <v>1843</v>
      </c>
      <c r="E148" s="802" t="s">
        <v>76</v>
      </c>
      <c r="F148" s="851" t="s">
        <v>76</v>
      </c>
      <c r="G148" s="839" t="s">
        <v>1269</v>
      </c>
      <c r="H148" s="767">
        <v>8900</v>
      </c>
      <c r="I148" s="767">
        <v>0</v>
      </c>
      <c r="J148" s="767">
        <v>8900</v>
      </c>
      <c r="K148" s="862">
        <v>0</v>
      </c>
      <c r="L148" s="1524">
        <v>0</v>
      </c>
      <c r="M148" s="920">
        <v>8900</v>
      </c>
      <c r="N148" s="841">
        <v>0</v>
      </c>
      <c r="O148" s="857">
        <v>0</v>
      </c>
      <c r="P148" s="778">
        <v>8900</v>
      </c>
      <c r="Q148" s="853">
        <v>0</v>
      </c>
      <c r="R148" s="1466">
        <f t="shared" si="8"/>
        <v>8900</v>
      </c>
      <c r="S148" s="756">
        <v>0</v>
      </c>
      <c r="T148" s="855">
        <v>0</v>
      </c>
      <c r="U148" s="890">
        <v>0</v>
      </c>
      <c r="V148" s="855">
        <v>0</v>
      </c>
      <c r="W148" s="919" t="s">
        <v>1838</v>
      </c>
      <c r="X148" s="553" t="s">
        <v>46</v>
      </c>
      <c r="Y148" s="891" t="s">
        <v>883</v>
      </c>
      <c r="Z148" s="774" t="s">
        <v>829</v>
      </c>
      <c r="AA148" s="774" t="s">
        <v>829</v>
      </c>
    </row>
    <row r="149" spans="1:27" ht="33.75" customHeight="1" x14ac:dyDescent="0.25">
      <c r="A149" s="849" t="s">
        <v>1270</v>
      </c>
      <c r="B149" s="850" t="s">
        <v>794</v>
      </c>
      <c r="C149" s="919">
        <v>2019</v>
      </c>
      <c r="D149" s="553" t="s">
        <v>1843</v>
      </c>
      <c r="E149" s="802" t="s">
        <v>76</v>
      </c>
      <c r="F149" s="851" t="s">
        <v>76</v>
      </c>
      <c r="G149" s="839" t="s">
        <v>1271</v>
      </c>
      <c r="H149" s="767">
        <v>4008.0432999999998</v>
      </c>
      <c r="I149" s="767">
        <v>0</v>
      </c>
      <c r="J149" s="767">
        <v>4008.0432999999998</v>
      </c>
      <c r="K149" s="862">
        <v>0</v>
      </c>
      <c r="L149" s="777">
        <v>0</v>
      </c>
      <c r="M149" s="923">
        <v>4008.0432999999998</v>
      </c>
      <c r="N149" s="921">
        <v>0</v>
      </c>
      <c r="O149" s="857">
        <v>0</v>
      </c>
      <c r="P149" s="778">
        <v>4008.0432999999998</v>
      </c>
      <c r="Q149" s="767">
        <v>0</v>
      </c>
      <c r="R149" s="1466">
        <f t="shared" si="8"/>
        <v>4008.0432999999998</v>
      </c>
      <c r="S149" s="756">
        <v>0</v>
      </c>
      <c r="T149" s="855">
        <v>0</v>
      </c>
      <c r="U149" s="890">
        <v>0</v>
      </c>
      <c r="V149" s="855">
        <v>0</v>
      </c>
      <c r="W149" s="919" t="s">
        <v>1839</v>
      </c>
      <c r="X149" s="553" t="s">
        <v>46</v>
      </c>
      <c r="Y149" s="891" t="s">
        <v>883</v>
      </c>
      <c r="Z149" s="774" t="s">
        <v>829</v>
      </c>
      <c r="AA149" s="774" t="s">
        <v>829</v>
      </c>
    </row>
    <row r="150" spans="1:27" s="429" customFormat="1" ht="33.75" customHeight="1" x14ac:dyDescent="0.25">
      <c r="A150" s="136" t="s">
        <v>1272</v>
      </c>
      <c r="B150" s="116" t="s">
        <v>1874</v>
      </c>
      <c r="C150" s="141">
        <v>2019</v>
      </c>
      <c r="D150" s="68" t="s">
        <v>1843</v>
      </c>
      <c r="E150" s="77" t="s">
        <v>76</v>
      </c>
      <c r="F150" s="69" t="s">
        <v>76</v>
      </c>
      <c r="G150" s="589" t="s">
        <v>1273</v>
      </c>
      <c r="H150" s="19">
        <v>915.06547</v>
      </c>
      <c r="I150" s="19">
        <v>0</v>
      </c>
      <c r="J150" s="1428">
        <v>915.06547</v>
      </c>
      <c r="K150" s="648">
        <v>915.06547</v>
      </c>
      <c r="L150" s="335">
        <v>0</v>
      </c>
      <c r="M150" s="471">
        <v>0</v>
      </c>
      <c r="N150" s="255">
        <v>0</v>
      </c>
      <c r="O150" s="20">
        <v>0</v>
      </c>
      <c r="P150" s="1731">
        <v>0</v>
      </c>
      <c r="Q150" s="1797">
        <v>0</v>
      </c>
      <c r="R150" s="1731">
        <f t="shared" si="8"/>
        <v>0</v>
      </c>
      <c r="S150" s="37">
        <v>0</v>
      </c>
      <c r="T150" s="21">
        <v>0</v>
      </c>
      <c r="U150" s="922">
        <v>0</v>
      </c>
      <c r="V150" s="21">
        <v>0</v>
      </c>
      <c r="W150" s="141" t="s">
        <v>776</v>
      </c>
      <c r="X150" s="68" t="s">
        <v>866</v>
      </c>
      <c r="Y150" s="391" t="s">
        <v>305</v>
      </c>
      <c r="Z150" s="67" t="s">
        <v>829</v>
      </c>
      <c r="AA150" s="67" t="s">
        <v>829</v>
      </c>
    </row>
    <row r="151" spans="1:27" ht="30" x14ac:dyDescent="0.25">
      <c r="A151" s="849" t="s">
        <v>1274</v>
      </c>
      <c r="B151" s="850" t="s">
        <v>1543</v>
      </c>
      <c r="C151" s="919">
        <v>2019</v>
      </c>
      <c r="D151" s="553" t="s">
        <v>1843</v>
      </c>
      <c r="E151" s="802" t="s">
        <v>76</v>
      </c>
      <c r="F151" s="851" t="s">
        <v>76</v>
      </c>
      <c r="G151" s="839" t="s">
        <v>1275</v>
      </c>
      <c r="H151" s="767">
        <v>19420</v>
      </c>
      <c r="I151" s="767">
        <v>0</v>
      </c>
      <c r="J151" s="767">
        <v>19420</v>
      </c>
      <c r="K151" s="862">
        <f>17330.08587+1691.199+69.979+259</f>
        <v>19350.263869999999</v>
      </c>
      <c r="L151" s="1524">
        <f>J151-K151</f>
        <v>69.73613000000114</v>
      </c>
      <c r="M151" s="920">
        <v>0</v>
      </c>
      <c r="N151" s="841">
        <v>0</v>
      </c>
      <c r="O151" s="857">
        <v>0</v>
      </c>
      <c r="P151" s="778">
        <v>69.736130000000003</v>
      </c>
      <c r="Q151" s="862">
        <v>0</v>
      </c>
      <c r="R151" s="1466">
        <f t="shared" si="8"/>
        <v>69.736130000000003</v>
      </c>
      <c r="S151" s="756">
        <v>0</v>
      </c>
      <c r="T151" s="855">
        <v>0</v>
      </c>
      <c r="U151" s="890">
        <v>0</v>
      </c>
      <c r="V151" s="855">
        <v>0</v>
      </c>
      <c r="W151" s="919" t="s">
        <v>1752</v>
      </c>
      <c r="X151" s="553" t="s">
        <v>46</v>
      </c>
      <c r="Y151" s="891" t="s">
        <v>854</v>
      </c>
      <c r="Z151" s="774" t="s">
        <v>829</v>
      </c>
      <c r="AA151" s="774" t="s">
        <v>829</v>
      </c>
    </row>
    <row r="152" spans="1:27" ht="30" x14ac:dyDescent="0.25">
      <c r="A152" s="849" t="s">
        <v>1276</v>
      </c>
      <c r="B152" s="850" t="s">
        <v>794</v>
      </c>
      <c r="C152" s="919">
        <v>2019</v>
      </c>
      <c r="D152" s="553" t="s">
        <v>1843</v>
      </c>
      <c r="E152" s="802" t="s">
        <v>76</v>
      </c>
      <c r="F152" s="851" t="s">
        <v>76</v>
      </c>
      <c r="G152" s="839" t="s">
        <v>1277</v>
      </c>
      <c r="H152" s="767">
        <v>3863.5751800000003</v>
      </c>
      <c r="I152" s="767">
        <v>0</v>
      </c>
      <c r="J152" s="767">
        <v>3863.5751800000003</v>
      </c>
      <c r="K152" s="862">
        <v>0</v>
      </c>
      <c r="L152" s="1524">
        <v>3863.5751799999998</v>
      </c>
      <c r="M152" s="920">
        <v>0</v>
      </c>
      <c r="N152" s="841">
        <v>0</v>
      </c>
      <c r="O152" s="857">
        <v>0</v>
      </c>
      <c r="P152" s="778">
        <v>3863.5751800000003</v>
      </c>
      <c r="Q152" s="853">
        <v>0</v>
      </c>
      <c r="R152" s="1466">
        <f t="shared" si="8"/>
        <v>3863.5751800000003</v>
      </c>
      <c r="S152" s="756">
        <v>0</v>
      </c>
      <c r="T152" s="855">
        <v>0</v>
      </c>
      <c r="U152" s="890">
        <v>0</v>
      </c>
      <c r="V152" s="855">
        <v>0</v>
      </c>
      <c r="W152" s="919" t="s">
        <v>1645</v>
      </c>
      <c r="X152" s="553" t="s">
        <v>46</v>
      </c>
      <c r="Y152" s="891" t="s">
        <v>854</v>
      </c>
      <c r="Z152" s="774" t="s">
        <v>829</v>
      </c>
      <c r="AA152" s="774" t="s">
        <v>829</v>
      </c>
    </row>
    <row r="153" spans="1:27" s="470" customFormat="1" ht="45" x14ac:dyDescent="0.25">
      <c r="A153" s="892" t="s">
        <v>1278</v>
      </c>
      <c r="B153" s="893" t="s">
        <v>1875</v>
      </c>
      <c r="C153" s="924">
        <v>2019</v>
      </c>
      <c r="D153" s="580" t="s">
        <v>1843</v>
      </c>
      <c r="E153" s="925" t="s">
        <v>76</v>
      </c>
      <c r="F153" s="895" t="s">
        <v>76</v>
      </c>
      <c r="G153" s="836" t="s">
        <v>1279</v>
      </c>
      <c r="H153" s="783">
        <v>5359.7648799999997</v>
      </c>
      <c r="I153" s="783">
        <v>0</v>
      </c>
      <c r="J153" s="783">
        <v>3718.7648799999997</v>
      </c>
      <c r="K153" s="1435">
        <v>2381.3672499999998</v>
      </c>
      <c r="L153" s="1526">
        <v>0</v>
      </c>
      <c r="M153" s="926">
        <f>2000-1381.36725</f>
        <v>618.63274999999999</v>
      </c>
      <c r="N153" s="897">
        <f>R153-L153-M153</f>
        <v>2359.7648800000006</v>
      </c>
      <c r="O153" s="1215">
        <v>0</v>
      </c>
      <c r="P153" s="1453">
        <f>3718.76488-2381.36725</f>
        <v>1337.3976300000004</v>
      </c>
      <c r="Q153" s="1118">
        <v>1641</v>
      </c>
      <c r="R153" s="1726">
        <f t="shared" si="8"/>
        <v>2978.3976300000004</v>
      </c>
      <c r="S153" s="786">
        <v>0</v>
      </c>
      <c r="T153" s="900">
        <v>0</v>
      </c>
      <c r="U153" s="899">
        <v>0</v>
      </c>
      <c r="V153" s="900">
        <v>0</v>
      </c>
      <c r="W153" s="924" t="s">
        <v>1956</v>
      </c>
      <c r="X153" s="580" t="s">
        <v>46</v>
      </c>
      <c r="Y153" s="902" t="s">
        <v>859</v>
      </c>
      <c r="Z153" s="791" t="s">
        <v>829</v>
      </c>
      <c r="AA153" s="791" t="s">
        <v>829</v>
      </c>
    </row>
    <row r="154" spans="1:27" ht="27.75" customHeight="1" x14ac:dyDescent="0.25">
      <c r="A154" s="849" t="s">
        <v>1280</v>
      </c>
      <c r="B154" s="850" t="s">
        <v>1547</v>
      </c>
      <c r="C154" s="919">
        <v>2019</v>
      </c>
      <c r="D154" s="553" t="s">
        <v>1843</v>
      </c>
      <c r="E154" s="802" t="s">
        <v>76</v>
      </c>
      <c r="F154" s="851" t="s">
        <v>76</v>
      </c>
      <c r="G154" s="839" t="s">
        <v>1281</v>
      </c>
      <c r="H154" s="767">
        <v>1182.55708</v>
      </c>
      <c r="I154" s="767">
        <v>0</v>
      </c>
      <c r="J154" s="767">
        <v>1182.55708</v>
      </c>
      <c r="K154" s="862">
        <v>1058.48064</v>
      </c>
      <c r="L154" s="1524">
        <v>124.07644000000001</v>
      </c>
      <c r="M154" s="920">
        <v>0</v>
      </c>
      <c r="N154" s="841">
        <v>0</v>
      </c>
      <c r="O154" s="857">
        <v>0</v>
      </c>
      <c r="P154" s="778">
        <f>1182.55708-1058.48064</f>
        <v>124.07644000000005</v>
      </c>
      <c r="Q154" s="853">
        <v>0</v>
      </c>
      <c r="R154" s="1466">
        <f t="shared" si="8"/>
        <v>124.07644000000005</v>
      </c>
      <c r="S154" s="756">
        <v>0</v>
      </c>
      <c r="T154" s="855">
        <v>0</v>
      </c>
      <c r="U154" s="890">
        <v>0</v>
      </c>
      <c r="V154" s="855">
        <v>0</v>
      </c>
      <c r="W154" s="919" t="s">
        <v>1646</v>
      </c>
      <c r="X154" s="553" t="s">
        <v>46</v>
      </c>
      <c r="Y154" s="891" t="s">
        <v>854</v>
      </c>
      <c r="Z154" s="774" t="s">
        <v>829</v>
      </c>
      <c r="AA154" s="774" t="s">
        <v>829</v>
      </c>
    </row>
    <row r="155" spans="1:27" s="470" customFormat="1" ht="25.5" x14ac:dyDescent="0.25">
      <c r="A155" s="717" t="s">
        <v>1282</v>
      </c>
      <c r="B155" s="718" t="s">
        <v>1876</v>
      </c>
      <c r="C155" s="719">
        <v>2019</v>
      </c>
      <c r="D155" s="372" t="s">
        <v>1843</v>
      </c>
      <c r="E155" s="358" t="s">
        <v>76</v>
      </c>
      <c r="F155" s="490" t="s">
        <v>76</v>
      </c>
      <c r="G155" s="1599" t="s">
        <v>1283</v>
      </c>
      <c r="H155" s="374">
        <v>4352.0445</v>
      </c>
      <c r="I155" s="374">
        <v>0</v>
      </c>
      <c r="J155" s="1436">
        <v>3682.0445</v>
      </c>
      <c r="K155" s="588">
        <v>3682.0445</v>
      </c>
      <c r="L155" s="1531">
        <f>3682.0445+670-3682.0445</f>
        <v>670</v>
      </c>
      <c r="M155" s="720">
        <v>0</v>
      </c>
      <c r="N155" s="721">
        <v>0</v>
      </c>
      <c r="O155" s="844">
        <v>0</v>
      </c>
      <c r="P155" s="1798">
        <f>3682.0445-3682.0445</f>
        <v>0</v>
      </c>
      <c r="Q155" s="1799">
        <v>670</v>
      </c>
      <c r="R155" s="1729">
        <f t="shared" si="8"/>
        <v>670</v>
      </c>
      <c r="S155" s="722">
        <v>0</v>
      </c>
      <c r="T155" s="723">
        <v>0</v>
      </c>
      <c r="U155" s="724">
        <v>0</v>
      </c>
      <c r="V155" s="723">
        <v>0</v>
      </c>
      <c r="W155" s="719" t="s">
        <v>1877</v>
      </c>
      <c r="X155" s="372" t="s">
        <v>46</v>
      </c>
      <c r="Y155" s="725" t="s">
        <v>854</v>
      </c>
      <c r="Z155" s="727" t="s">
        <v>829</v>
      </c>
      <c r="AA155" s="727" t="s">
        <v>829</v>
      </c>
    </row>
    <row r="156" spans="1:27" s="470" customFormat="1" ht="45" x14ac:dyDescent="0.25">
      <c r="A156" s="717" t="s">
        <v>1284</v>
      </c>
      <c r="B156" s="718" t="s">
        <v>1878</v>
      </c>
      <c r="C156" s="719">
        <v>2019</v>
      </c>
      <c r="D156" s="372" t="s">
        <v>1843</v>
      </c>
      <c r="E156" s="358" t="s">
        <v>76</v>
      </c>
      <c r="F156" s="490" t="s">
        <v>76</v>
      </c>
      <c r="G156" s="1599" t="s">
        <v>1285</v>
      </c>
      <c r="H156" s="374">
        <v>2666</v>
      </c>
      <c r="I156" s="374">
        <v>0</v>
      </c>
      <c r="J156" s="1436">
        <v>2420</v>
      </c>
      <c r="K156" s="588">
        <v>2420.4204599999998</v>
      </c>
      <c r="L156" s="1531">
        <f>2666-2420.42046</f>
        <v>245.57954000000018</v>
      </c>
      <c r="M156" s="720">
        <v>0</v>
      </c>
      <c r="N156" s="721">
        <v>0</v>
      </c>
      <c r="O156" s="844">
        <v>0</v>
      </c>
      <c r="P156" s="1798">
        <v>0</v>
      </c>
      <c r="Q156" s="1799">
        <f>246-0.42046</f>
        <v>245.57954000000001</v>
      </c>
      <c r="R156" s="1729">
        <f t="shared" si="8"/>
        <v>245.57954000000001</v>
      </c>
      <c r="S156" s="722">
        <v>0</v>
      </c>
      <c r="T156" s="723">
        <v>0</v>
      </c>
      <c r="U156" s="724">
        <v>0</v>
      </c>
      <c r="V156" s="723">
        <v>0</v>
      </c>
      <c r="W156" s="719" t="s">
        <v>1879</v>
      </c>
      <c r="X156" s="372" t="s">
        <v>46</v>
      </c>
      <c r="Y156" s="725" t="s">
        <v>854</v>
      </c>
      <c r="Z156" s="727" t="s">
        <v>829</v>
      </c>
      <c r="AA156" s="727" t="s">
        <v>829</v>
      </c>
    </row>
    <row r="157" spans="1:27" s="470" customFormat="1" ht="30" x14ac:dyDescent="0.25">
      <c r="A157" s="717" t="s">
        <v>1286</v>
      </c>
      <c r="B157" s="718" t="s">
        <v>1549</v>
      </c>
      <c r="C157" s="719">
        <v>2019</v>
      </c>
      <c r="D157" s="372" t="s">
        <v>1843</v>
      </c>
      <c r="E157" s="358" t="s">
        <v>76</v>
      </c>
      <c r="F157" s="490" t="s">
        <v>76</v>
      </c>
      <c r="G157" s="1599" t="s">
        <v>1287</v>
      </c>
      <c r="H157" s="374">
        <f>2684-0.00564</f>
        <v>2683.9943600000001</v>
      </c>
      <c r="I157" s="374">
        <v>0</v>
      </c>
      <c r="J157" s="1436">
        <v>2503.9971800000003</v>
      </c>
      <c r="K157" s="588">
        <f>1393.73+1110.26718</f>
        <v>2503.9971800000003</v>
      </c>
      <c r="L157" s="1531">
        <f>179.99718+1110.26718-1110.26718</f>
        <v>179.99718000000007</v>
      </c>
      <c r="M157" s="720">
        <v>0</v>
      </c>
      <c r="N157" s="721">
        <v>0</v>
      </c>
      <c r="O157" s="844">
        <v>0</v>
      </c>
      <c r="P157" s="1798">
        <f>2503.99718-1393.73-1110.26718</f>
        <v>0</v>
      </c>
      <c r="Q157" s="1799">
        <v>179.99717999999999</v>
      </c>
      <c r="R157" s="1729">
        <f t="shared" si="8"/>
        <v>179.99717999999999</v>
      </c>
      <c r="S157" s="722">
        <v>0</v>
      </c>
      <c r="T157" s="723">
        <v>0</v>
      </c>
      <c r="U157" s="724">
        <v>0</v>
      </c>
      <c r="V157" s="723">
        <v>0</v>
      </c>
      <c r="W157" s="719" t="s">
        <v>1880</v>
      </c>
      <c r="X157" s="372" t="s">
        <v>46</v>
      </c>
      <c r="Y157" s="725" t="s">
        <v>854</v>
      </c>
      <c r="Z157" s="727" t="s">
        <v>829</v>
      </c>
      <c r="AA157" s="727" t="s">
        <v>829</v>
      </c>
    </row>
    <row r="158" spans="1:27" s="470" customFormat="1" ht="30" x14ac:dyDescent="0.25">
      <c r="A158" s="892" t="s">
        <v>1288</v>
      </c>
      <c r="B158" s="893" t="s">
        <v>794</v>
      </c>
      <c r="C158" s="924">
        <v>2019</v>
      </c>
      <c r="D158" s="580" t="s">
        <v>1843</v>
      </c>
      <c r="E158" s="925" t="s">
        <v>76</v>
      </c>
      <c r="F158" s="895" t="s">
        <v>76</v>
      </c>
      <c r="G158" s="836" t="s">
        <v>1289</v>
      </c>
      <c r="H158" s="783">
        <f>2372.75255+357</f>
        <v>2729.7525500000002</v>
      </c>
      <c r="I158" s="783">
        <v>0</v>
      </c>
      <c r="J158" s="783">
        <v>2372.7525499999997</v>
      </c>
      <c r="K158" s="1435">
        <v>0</v>
      </c>
      <c r="L158" s="1526">
        <v>0</v>
      </c>
      <c r="M158" s="926">
        <v>0</v>
      </c>
      <c r="N158" s="897">
        <v>0</v>
      </c>
      <c r="O158" s="1215">
        <f>2372.75255+357</f>
        <v>2729.7525500000002</v>
      </c>
      <c r="P158" s="1453">
        <v>2372.7525500000002</v>
      </c>
      <c r="Q158" s="1118">
        <v>357</v>
      </c>
      <c r="R158" s="1726">
        <f t="shared" si="8"/>
        <v>2729.7525500000002</v>
      </c>
      <c r="S158" s="786">
        <v>0</v>
      </c>
      <c r="T158" s="900">
        <v>0</v>
      </c>
      <c r="U158" s="899">
        <v>0</v>
      </c>
      <c r="V158" s="900">
        <v>0</v>
      </c>
      <c r="W158" s="924" t="s">
        <v>1957</v>
      </c>
      <c r="X158" s="580" t="s">
        <v>46</v>
      </c>
      <c r="Y158" s="902" t="s">
        <v>881</v>
      </c>
      <c r="Z158" s="791" t="s">
        <v>829</v>
      </c>
      <c r="AA158" s="791" t="s">
        <v>829</v>
      </c>
    </row>
    <row r="159" spans="1:27" ht="45.75" customHeight="1" x14ac:dyDescent="0.25">
      <c r="A159" s="136" t="s">
        <v>1290</v>
      </c>
      <c r="B159" s="116" t="s">
        <v>1550</v>
      </c>
      <c r="C159" s="141">
        <v>2019</v>
      </c>
      <c r="D159" s="68" t="s">
        <v>1843</v>
      </c>
      <c r="E159" s="77" t="s">
        <v>76</v>
      </c>
      <c r="F159" s="69" t="s">
        <v>76</v>
      </c>
      <c r="G159" s="589" t="s">
        <v>1455</v>
      </c>
      <c r="H159" s="19">
        <v>5852.6400400000002</v>
      </c>
      <c r="I159" s="19">
        <v>0</v>
      </c>
      <c r="J159" s="1428">
        <v>5852.6400400000002</v>
      </c>
      <c r="K159" s="648">
        <f>4282.76961+1569.87043</f>
        <v>5852.6400400000002</v>
      </c>
      <c r="L159" s="335">
        <v>0</v>
      </c>
      <c r="M159" s="471">
        <v>0</v>
      </c>
      <c r="N159" s="255">
        <v>0</v>
      </c>
      <c r="O159" s="20">
        <v>0</v>
      </c>
      <c r="P159" s="1731">
        <f>2806.56933-2206.38749</f>
        <v>600.18183999999974</v>
      </c>
      <c r="Q159" s="492">
        <f>-1*P159</f>
        <v>-600.18183999999974</v>
      </c>
      <c r="R159" s="1719">
        <f t="shared" si="8"/>
        <v>0</v>
      </c>
      <c r="S159" s="37">
        <v>0</v>
      </c>
      <c r="T159" s="21">
        <v>0</v>
      </c>
      <c r="U159" s="922">
        <v>0</v>
      </c>
      <c r="V159" s="21">
        <v>0</v>
      </c>
      <c r="W159" s="141" t="s">
        <v>776</v>
      </c>
      <c r="X159" s="68" t="s">
        <v>866</v>
      </c>
      <c r="Y159" s="391" t="s">
        <v>305</v>
      </c>
      <c r="Z159" s="67" t="s">
        <v>829</v>
      </c>
      <c r="AA159" s="67" t="s">
        <v>829</v>
      </c>
    </row>
    <row r="160" spans="1:27" s="470" customFormat="1" ht="30" x14ac:dyDescent="0.25">
      <c r="A160" s="717" t="s">
        <v>1291</v>
      </c>
      <c r="B160" s="718" t="s">
        <v>1881</v>
      </c>
      <c r="C160" s="719">
        <v>2019</v>
      </c>
      <c r="D160" s="372" t="s">
        <v>1843</v>
      </c>
      <c r="E160" s="358" t="s">
        <v>76</v>
      </c>
      <c r="F160" s="490" t="s">
        <v>76</v>
      </c>
      <c r="G160" s="1599" t="s">
        <v>1292</v>
      </c>
      <c r="H160" s="374">
        <v>4631.1322200000004</v>
      </c>
      <c r="I160" s="374">
        <v>0</v>
      </c>
      <c r="J160" s="1436">
        <v>3919.8879999999999</v>
      </c>
      <c r="K160" s="588">
        <v>3919.8879999999999</v>
      </c>
      <c r="L160" s="1531">
        <f>447+3968.13222-3919.888</f>
        <v>495.24421999999959</v>
      </c>
      <c r="M160" s="720">
        <v>54</v>
      </c>
      <c r="N160" s="721">
        <v>54</v>
      </c>
      <c r="O160" s="1604">
        <v>54</v>
      </c>
      <c r="P160" s="1798">
        <f>3919.888-3919.888</f>
        <v>0</v>
      </c>
      <c r="Q160" s="1799">
        <f>711-54 +0.24422</f>
        <v>657.24422000000004</v>
      </c>
      <c r="R160" s="1729">
        <f t="shared" si="8"/>
        <v>657.24422000000004</v>
      </c>
      <c r="S160" s="722">
        <v>0</v>
      </c>
      <c r="T160" s="723">
        <v>0</v>
      </c>
      <c r="U160" s="724">
        <v>54</v>
      </c>
      <c r="V160" s="723">
        <v>0</v>
      </c>
      <c r="W160" s="719" t="s">
        <v>1882</v>
      </c>
      <c r="X160" s="372" t="s">
        <v>46</v>
      </c>
      <c r="Y160" s="725" t="s">
        <v>1647</v>
      </c>
      <c r="Z160" s="727" t="s">
        <v>829</v>
      </c>
      <c r="AA160" s="727" t="s">
        <v>829</v>
      </c>
    </row>
    <row r="161" spans="1:27" s="470" customFormat="1" ht="30" x14ac:dyDescent="0.25">
      <c r="A161" s="892" t="s">
        <v>1293</v>
      </c>
      <c r="B161" s="893" t="s">
        <v>1548</v>
      </c>
      <c r="C161" s="924">
        <v>2019</v>
      </c>
      <c r="D161" s="580" t="s">
        <v>1843</v>
      </c>
      <c r="E161" s="925" t="s">
        <v>76</v>
      </c>
      <c r="F161" s="895" t="s">
        <v>76</v>
      </c>
      <c r="G161" s="836" t="s">
        <v>1294</v>
      </c>
      <c r="H161" s="783">
        <f>3989.81341+110.1</f>
        <v>4099.9134100000001</v>
      </c>
      <c r="I161" s="783">
        <v>0</v>
      </c>
      <c r="J161" s="783">
        <v>3396.4038100000002</v>
      </c>
      <c r="K161" s="1435">
        <v>3129.9408899999999</v>
      </c>
      <c r="L161" s="1526">
        <f>704+266-0.02748</f>
        <v>969.97252000000003</v>
      </c>
      <c r="M161" s="926">
        <v>0</v>
      </c>
      <c r="N161" s="897">
        <v>0</v>
      </c>
      <c r="O161" s="1215">
        <v>0</v>
      </c>
      <c r="P161" s="1453">
        <f>3396.40381-3129.94089</f>
        <v>266.46291999999994</v>
      </c>
      <c r="Q161" s="1118">
        <f>704-0.4904</f>
        <v>703.50959999999998</v>
      </c>
      <c r="R161" s="1726">
        <f t="shared" si="8"/>
        <v>969.97251999999992</v>
      </c>
      <c r="S161" s="786">
        <v>0</v>
      </c>
      <c r="T161" s="900">
        <v>0</v>
      </c>
      <c r="U161" s="899">
        <v>0</v>
      </c>
      <c r="V161" s="900">
        <v>0</v>
      </c>
      <c r="W161" s="924" t="s">
        <v>1648</v>
      </c>
      <c r="X161" s="580" t="s">
        <v>46</v>
      </c>
      <c r="Y161" s="902" t="s">
        <v>977</v>
      </c>
      <c r="Z161" s="791" t="s">
        <v>829</v>
      </c>
      <c r="AA161" s="791" t="s">
        <v>829</v>
      </c>
    </row>
    <row r="162" spans="1:27" s="470" customFormat="1" ht="30" x14ac:dyDescent="0.25">
      <c r="A162" s="717" t="s">
        <v>1295</v>
      </c>
      <c r="B162" s="718" t="s">
        <v>1883</v>
      </c>
      <c r="C162" s="719">
        <v>2019</v>
      </c>
      <c r="D162" s="372" t="s">
        <v>1843</v>
      </c>
      <c r="E162" s="358" t="s">
        <v>76</v>
      </c>
      <c r="F162" s="490" t="s">
        <v>76</v>
      </c>
      <c r="G162" s="1599" t="s">
        <v>1296</v>
      </c>
      <c r="H162" s="374">
        <v>5900</v>
      </c>
      <c r="I162" s="374">
        <v>0</v>
      </c>
      <c r="J162" s="1436">
        <v>4950.9879500000006</v>
      </c>
      <c r="K162" s="588">
        <v>4950.9879499999997</v>
      </c>
      <c r="L162" s="1531">
        <f>4950.98795+949.01205-4950.98795</f>
        <v>949.01205000000027</v>
      </c>
      <c r="M162" s="720">
        <v>0</v>
      </c>
      <c r="N162" s="721">
        <v>0</v>
      </c>
      <c r="O162" s="844">
        <v>0</v>
      </c>
      <c r="P162" s="1798">
        <f>4950.98795-4950.98795</f>
        <v>0</v>
      </c>
      <c r="Q162" s="1799">
        <v>949.01205000000004</v>
      </c>
      <c r="R162" s="1729">
        <f t="shared" si="8"/>
        <v>949.01205000000004</v>
      </c>
      <c r="S162" s="722">
        <v>0</v>
      </c>
      <c r="T162" s="723">
        <v>0</v>
      </c>
      <c r="U162" s="724">
        <v>0</v>
      </c>
      <c r="V162" s="723">
        <v>0</v>
      </c>
      <c r="W162" s="719" t="s">
        <v>1884</v>
      </c>
      <c r="X162" s="372" t="s">
        <v>46</v>
      </c>
      <c r="Y162" s="725" t="s">
        <v>977</v>
      </c>
      <c r="Z162" s="727" t="s">
        <v>829</v>
      </c>
      <c r="AA162" s="727" t="s">
        <v>829</v>
      </c>
    </row>
    <row r="163" spans="1:27" s="470" customFormat="1" ht="30" x14ac:dyDescent="0.25">
      <c r="A163" s="892" t="s">
        <v>1297</v>
      </c>
      <c r="B163" s="893" t="s">
        <v>1546</v>
      </c>
      <c r="C163" s="924">
        <v>2019</v>
      </c>
      <c r="D163" s="580" t="s">
        <v>1843</v>
      </c>
      <c r="E163" s="925" t="s">
        <v>76</v>
      </c>
      <c r="F163" s="895" t="s">
        <v>76</v>
      </c>
      <c r="G163" s="836" t="s">
        <v>1298</v>
      </c>
      <c r="H163" s="783">
        <v>7628</v>
      </c>
      <c r="I163" s="783">
        <v>0</v>
      </c>
      <c r="J163" s="783">
        <v>7548</v>
      </c>
      <c r="K163" s="1435">
        <f>2911.19997+1898.9024+1655.20946</f>
        <v>6465.3118300000006</v>
      </c>
      <c r="L163" s="1526">
        <v>0</v>
      </c>
      <c r="M163" s="926">
        <f>3716.80003-2554.11186</f>
        <v>1162.6881699999999</v>
      </c>
      <c r="N163" s="897">
        <v>0</v>
      </c>
      <c r="O163" s="1215">
        <v>0</v>
      </c>
      <c r="P163" s="1453">
        <f>4636.80003-3554.11186</f>
        <v>1082.6881700000004</v>
      </c>
      <c r="Q163" s="1118">
        <v>80</v>
      </c>
      <c r="R163" s="1726">
        <f t="shared" si="8"/>
        <v>1162.6881700000004</v>
      </c>
      <c r="S163" s="786">
        <v>0</v>
      </c>
      <c r="T163" s="900">
        <v>0</v>
      </c>
      <c r="U163" s="899">
        <v>0</v>
      </c>
      <c r="V163" s="900">
        <v>0</v>
      </c>
      <c r="W163" s="924" t="s">
        <v>1885</v>
      </c>
      <c r="X163" s="580" t="s">
        <v>46</v>
      </c>
      <c r="Y163" s="902" t="s">
        <v>859</v>
      </c>
      <c r="Z163" s="791" t="s">
        <v>829</v>
      </c>
      <c r="AA163" s="791" t="s">
        <v>829</v>
      </c>
    </row>
    <row r="164" spans="1:27" s="470" customFormat="1" ht="30" x14ac:dyDescent="0.25">
      <c r="A164" s="717" t="s">
        <v>1299</v>
      </c>
      <c r="B164" s="718" t="s">
        <v>1545</v>
      </c>
      <c r="C164" s="719">
        <v>2019</v>
      </c>
      <c r="D164" s="372" t="s">
        <v>1843</v>
      </c>
      <c r="E164" s="358" t="s">
        <v>76</v>
      </c>
      <c r="F164" s="490" t="s">
        <v>76</v>
      </c>
      <c r="G164" s="1599" t="s">
        <v>1300</v>
      </c>
      <c r="H164" s="374">
        <v>7134</v>
      </c>
      <c r="I164" s="374">
        <v>0</v>
      </c>
      <c r="J164" s="1436">
        <v>5968.3934600000002</v>
      </c>
      <c r="K164" s="588">
        <f>5571.40206+396.9914</f>
        <v>5968.3934600000002</v>
      </c>
      <c r="L164" s="1531">
        <f>1165+397.59794-396.9914</f>
        <v>1165.6065400000002</v>
      </c>
      <c r="M164" s="720">
        <v>0</v>
      </c>
      <c r="N164" s="721">
        <v>0</v>
      </c>
      <c r="O164" s="844">
        <v>0</v>
      </c>
      <c r="P164" s="1798">
        <f>396.9914-396.9914</f>
        <v>0</v>
      </c>
      <c r="Q164" s="1799">
        <f>1166-0.39346</f>
        <v>1165.60654</v>
      </c>
      <c r="R164" s="1729">
        <f t="shared" si="8"/>
        <v>1165.60654</v>
      </c>
      <c r="S164" s="722">
        <v>0</v>
      </c>
      <c r="T164" s="723">
        <v>0</v>
      </c>
      <c r="U164" s="724">
        <v>0</v>
      </c>
      <c r="V164" s="723">
        <v>0</v>
      </c>
      <c r="W164" s="719" t="s">
        <v>1886</v>
      </c>
      <c r="X164" s="372" t="s">
        <v>46</v>
      </c>
      <c r="Y164" s="725" t="s">
        <v>854</v>
      </c>
      <c r="Z164" s="727" t="s">
        <v>829</v>
      </c>
      <c r="AA164" s="727" t="s">
        <v>829</v>
      </c>
    </row>
    <row r="165" spans="1:27" ht="30" customHeight="1" x14ac:dyDescent="0.25">
      <c r="A165" s="64" t="s">
        <v>1301</v>
      </c>
      <c r="B165" s="87" t="s">
        <v>1535</v>
      </c>
      <c r="C165" s="139">
        <v>2019</v>
      </c>
      <c r="D165" s="5" t="s">
        <v>1843</v>
      </c>
      <c r="E165" s="66" t="s">
        <v>76</v>
      </c>
      <c r="F165" s="65" t="s">
        <v>76</v>
      </c>
      <c r="G165" s="517" t="s">
        <v>1302</v>
      </c>
      <c r="H165" s="14">
        <v>2959</v>
      </c>
      <c r="I165" s="14">
        <v>0</v>
      </c>
      <c r="J165" s="677">
        <v>2959</v>
      </c>
      <c r="K165" s="246">
        <f>2105.81155+853.33575</f>
        <v>2959.1472999999996</v>
      </c>
      <c r="L165" s="1525">
        <f>853.18845-853.33575</f>
        <v>-0.1472999999999729</v>
      </c>
      <c r="M165" s="183">
        <v>0</v>
      </c>
      <c r="N165" s="247">
        <v>0</v>
      </c>
      <c r="O165" s="15">
        <v>0</v>
      </c>
      <c r="P165" s="1794">
        <f>2959-2105.81155-853.33575</f>
        <v>-0.14729999999985921</v>
      </c>
      <c r="Q165" s="491">
        <v>0</v>
      </c>
      <c r="R165" s="1715">
        <f t="shared" si="8"/>
        <v>-0.14729999999985921</v>
      </c>
      <c r="S165" s="27">
        <v>0</v>
      </c>
      <c r="T165" s="16">
        <v>0</v>
      </c>
      <c r="U165" s="509">
        <v>0</v>
      </c>
      <c r="V165" s="16">
        <v>0</v>
      </c>
      <c r="W165" s="139" t="s">
        <v>776</v>
      </c>
      <c r="X165" s="5" t="s">
        <v>46</v>
      </c>
      <c r="Y165" s="308" t="s">
        <v>854</v>
      </c>
      <c r="Z165" s="104" t="s">
        <v>829</v>
      </c>
      <c r="AA165" s="104" t="s">
        <v>829</v>
      </c>
    </row>
    <row r="166" spans="1:27" s="470" customFormat="1" ht="25.5" x14ac:dyDescent="0.25">
      <c r="A166" s="892" t="s">
        <v>1303</v>
      </c>
      <c r="B166" s="893" t="s">
        <v>1887</v>
      </c>
      <c r="C166" s="924">
        <v>2019</v>
      </c>
      <c r="D166" s="580" t="s">
        <v>1843</v>
      </c>
      <c r="E166" s="925" t="s">
        <v>76</v>
      </c>
      <c r="F166" s="895" t="s">
        <v>76</v>
      </c>
      <c r="G166" s="836" t="s">
        <v>1304</v>
      </c>
      <c r="H166" s="783">
        <v>2949</v>
      </c>
      <c r="I166" s="783">
        <v>0</v>
      </c>
      <c r="J166" s="783">
        <v>2150.3484900000003</v>
      </c>
      <c r="K166" s="1435">
        <v>2118.2503099999999</v>
      </c>
      <c r="L166" s="1526">
        <f>531+2418-2118.25031</f>
        <v>830.7496900000001</v>
      </c>
      <c r="M166" s="926">
        <v>0</v>
      </c>
      <c r="N166" s="897">
        <v>0</v>
      </c>
      <c r="O166" s="1215">
        <v>0</v>
      </c>
      <c r="P166" s="1453">
        <f>2150.34849-2118.25031</f>
        <v>32.098179999999957</v>
      </c>
      <c r="Q166" s="1118">
        <f>799-0.34849</f>
        <v>798.65151000000003</v>
      </c>
      <c r="R166" s="1726">
        <f t="shared" si="8"/>
        <v>830.74968999999999</v>
      </c>
      <c r="S166" s="786">
        <v>0</v>
      </c>
      <c r="T166" s="900">
        <v>0</v>
      </c>
      <c r="U166" s="899">
        <v>0</v>
      </c>
      <c r="V166" s="900">
        <v>0</v>
      </c>
      <c r="W166" s="924" t="s">
        <v>1888</v>
      </c>
      <c r="X166" s="580" t="s">
        <v>46</v>
      </c>
      <c r="Y166" s="902" t="s">
        <v>854</v>
      </c>
      <c r="Z166" s="791" t="s">
        <v>829</v>
      </c>
      <c r="AA166" s="791" t="s">
        <v>829</v>
      </c>
    </row>
    <row r="167" spans="1:27" ht="30" x14ac:dyDescent="0.25">
      <c r="A167" s="64" t="s">
        <v>1305</v>
      </c>
      <c r="B167" s="87" t="s">
        <v>1889</v>
      </c>
      <c r="C167" s="139">
        <v>2019</v>
      </c>
      <c r="D167" s="5" t="s">
        <v>1843</v>
      </c>
      <c r="E167" s="66" t="s">
        <v>76</v>
      </c>
      <c r="F167" s="65" t="s">
        <v>76</v>
      </c>
      <c r="G167" s="517" t="s">
        <v>1306</v>
      </c>
      <c r="H167" s="14">
        <v>1501.6971000000001</v>
      </c>
      <c r="I167" s="14">
        <v>0</v>
      </c>
      <c r="J167" s="677">
        <v>1501.6971000000001</v>
      </c>
      <c r="K167" s="246">
        <v>1501.6971000000001</v>
      </c>
      <c r="L167" s="1525">
        <v>0</v>
      </c>
      <c r="M167" s="183">
        <v>0</v>
      </c>
      <c r="N167" s="247">
        <v>0</v>
      </c>
      <c r="O167" s="15">
        <v>0</v>
      </c>
      <c r="P167" s="1794">
        <v>0</v>
      </c>
      <c r="Q167" s="491">
        <v>0</v>
      </c>
      <c r="R167" s="1715">
        <f t="shared" si="8"/>
        <v>0</v>
      </c>
      <c r="S167" s="27">
        <v>0</v>
      </c>
      <c r="T167" s="16">
        <v>0</v>
      </c>
      <c r="U167" s="509">
        <v>0</v>
      </c>
      <c r="V167" s="16">
        <v>0</v>
      </c>
      <c r="W167" s="139" t="s">
        <v>776</v>
      </c>
      <c r="X167" s="372" t="s">
        <v>46</v>
      </c>
      <c r="Y167" s="725" t="s">
        <v>854</v>
      </c>
      <c r="Z167" s="104" t="s">
        <v>829</v>
      </c>
      <c r="AA167" s="104" t="s">
        <v>829</v>
      </c>
    </row>
    <row r="168" spans="1:27" s="464" customFormat="1" ht="30" x14ac:dyDescent="0.25">
      <c r="A168" s="728" t="s">
        <v>1307</v>
      </c>
      <c r="B168" s="533" t="s">
        <v>1559</v>
      </c>
      <c r="C168" s="746">
        <v>2019</v>
      </c>
      <c r="D168" s="461" t="s">
        <v>1843</v>
      </c>
      <c r="E168" s="800" t="s">
        <v>76</v>
      </c>
      <c r="F168" s="730" t="s">
        <v>76</v>
      </c>
      <c r="G168" s="931" t="s">
        <v>1308</v>
      </c>
      <c r="H168" s="462">
        <v>6795.7059900000004</v>
      </c>
      <c r="I168" s="462">
        <v>0</v>
      </c>
      <c r="J168" s="1439">
        <v>6836</v>
      </c>
      <c r="K168" s="1174">
        <v>6795.7059900000004</v>
      </c>
      <c r="L168" s="1527">
        <v>0</v>
      </c>
      <c r="M168" s="736">
        <v>0</v>
      </c>
      <c r="N168" s="734">
        <v>0</v>
      </c>
      <c r="O168" s="735">
        <v>0</v>
      </c>
      <c r="P168" s="1795">
        <f>6836-6795.70599</f>
        <v>40.294009999999616</v>
      </c>
      <c r="Q168" s="1796">
        <v>-40.29401</v>
      </c>
      <c r="R168" s="1721">
        <v>0</v>
      </c>
      <c r="S168" s="733">
        <v>0</v>
      </c>
      <c r="T168" s="732">
        <v>0</v>
      </c>
      <c r="U168" s="938">
        <v>0</v>
      </c>
      <c r="V168" s="732">
        <v>0</v>
      </c>
      <c r="W168" s="746" t="s">
        <v>1649</v>
      </c>
      <c r="X168" s="461" t="s">
        <v>866</v>
      </c>
      <c r="Y168" s="939" t="s">
        <v>25</v>
      </c>
      <c r="Z168" s="798" t="s">
        <v>829</v>
      </c>
      <c r="AA168" s="798" t="s">
        <v>829</v>
      </c>
    </row>
    <row r="169" spans="1:27" s="1244" customFormat="1" ht="29.25" customHeight="1" x14ac:dyDescent="0.25">
      <c r="A169" s="136" t="s">
        <v>1309</v>
      </c>
      <c r="B169" s="116" t="s">
        <v>1544</v>
      </c>
      <c r="C169" s="141">
        <v>2019</v>
      </c>
      <c r="D169" s="68" t="s">
        <v>1843</v>
      </c>
      <c r="E169" s="77" t="s">
        <v>76</v>
      </c>
      <c r="F169" s="69" t="s">
        <v>76</v>
      </c>
      <c r="G169" s="589" t="s">
        <v>1310</v>
      </c>
      <c r="H169" s="19">
        <v>1971.6344999999999</v>
      </c>
      <c r="I169" s="19">
        <v>0</v>
      </c>
      <c r="J169" s="1428">
        <v>1971</v>
      </c>
      <c r="K169" s="648">
        <v>1971.6344999999999</v>
      </c>
      <c r="L169" s="335">
        <v>0</v>
      </c>
      <c r="M169" s="471">
        <v>0</v>
      </c>
      <c r="N169" s="255">
        <v>0</v>
      </c>
      <c r="O169" s="20">
        <v>0</v>
      </c>
      <c r="P169" s="1731">
        <v>0</v>
      </c>
      <c r="Q169" s="492">
        <v>0</v>
      </c>
      <c r="R169" s="1719">
        <f t="shared" si="8"/>
        <v>0</v>
      </c>
      <c r="S169" s="37">
        <v>0</v>
      </c>
      <c r="T169" s="21">
        <v>0</v>
      </c>
      <c r="U169" s="922">
        <v>0</v>
      </c>
      <c r="V169" s="21">
        <v>0</v>
      </c>
      <c r="W169" s="141" t="s">
        <v>776</v>
      </c>
      <c r="X169" s="68" t="s">
        <v>866</v>
      </c>
      <c r="Y169" s="391" t="s">
        <v>562</v>
      </c>
      <c r="Z169" s="67" t="s">
        <v>829</v>
      </c>
      <c r="AA169" s="67" t="s">
        <v>829</v>
      </c>
    </row>
    <row r="170" spans="1:27" ht="32.25" customHeight="1" x14ac:dyDescent="0.25">
      <c r="A170" s="849" t="s">
        <v>1311</v>
      </c>
      <c r="B170" s="850" t="s">
        <v>1890</v>
      </c>
      <c r="C170" s="919">
        <v>2019</v>
      </c>
      <c r="D170" s="553" t="s">
        <v>1843</v>
      </c>
      <c r="E170" s="802" t="s">
        <v>76</v>
      </c>
      <c r="F170" s="851" t="s">
        <v>76</v>
      </c>
      <c r="G170" s="839" t="s">
        <v>1312</v>
      </c>
      <c r="H170" s="767">
        <v>2806.5693300000003</v>
      </c>
      <c r="I170" s="767">
        <v>0</v>
      </c>
      <c r="J170" s="767">
        <v>2806.5693299999998</v>
      </c>
      <c r="K170" s="862">
        <v>2206.3874900000001</v>
      </c>
      <c r="L170" s="1524">
        <f>2806.56933-2206.38749</f>
        <v>600.18183999999974</v>
      </c>
      <c r="M170" s="920">
        <v>0</v>
      </c>
      <c r="N170" s="841">
        <v>0</v>
      </c>
      <c r="O170" s="857">
        <v>0</v>
      </c>
      <c r="P170" s="778">
        <f>2806.56933-2206.38749</f>
        <v>600.18183999999974</v>
      </c>
      <c r="Q170" s="853">
        <v>0</v>
      </c>
      <c r="R170" s="1466">
        <f t="shared" si="8"/>
        <v>600.18183999999974</v>
      </c>
      <c r="S170" s="756">
        <v>0</v>
      </c>
      <c r="T170" s="855">
        <v>0</v>
      </c>
      <c r="U170" s="890">
        <v>0</v>
      </c>
      <c r="V170" s="855">
        <v>0</v>
      </c>
      <c r="W170" s="919" t="s">
        <v>1891</v>
      </c>
      <c r="X170" s="553" t="s">
        <v>46</v>
      </c>
      <c r="Y170" s="891" t="s">
        <v>854</v>
      </c>
      <c r="Z170" s="774" t="s">
        <v>829</v>
      </c>
      <c r="AA170" s="774" t="s">
        <v>829</v>
      </c>
    </row>
    <row r="171" spans="1:27" ht="38.25" customHeight="1" x14ac:dyDescent="0.25">
      <c r="A171" s="849" t="s">
        <v>1313</v>
      </c>
      <c r="B171" s="850" t="s">
        <v>794</v>
      </c>
      <c r="C171" s="919">
        <v>2019</v>
      </c>
      <c r="D171" s="553" t="s">
        <v>1843</v>
      </c>
      <c r="E171" s="802" t="s">
        <v>76</v>
      </c>
      <c r="F171" s="851" t="s">
        <v>76</v>
      </c>
      <c r="G171" s="937" t="s">
        <v>1314</v>
      </c>
      <c r="H171" s="767">
        <v>1909.67524</v>
      </c>
      <c r="I171" s="767">
        <v>0</v>
      </c>
      <c r="J171" s="767">
        <v>1909.67524</v>
      </c>
      <c r="K171" s="862">
        <v>0</v>
      </c>
      <c r="L171" s="1524"/>
      <c r="M171" s="920">
        <v>1909.67524</v>
      </c>
      <c r="N171" s="841">
        <v>0</v>
      </c>
      <c r="O171" s="857">
        <v>0</v>
      </c>
      <c r="P171" s="778">
        <v>1909.67524</v>
      </c>
      <c r="Q171" s="853">
        <v>0</v>
      </c>
      <c r="R171" s="1466">
        <f t="shared" si="8"/>
        <v>1909.67524</v>
      </c>
      <c r="S171" s="756">
        <v>0</v>
      </c>
      <c r="T171" s="855">
        <v>0</v>
      </c>
      <c r="U171" s="890">
        <v>0</v>
      </c>
      <c r="V171" s="855">
        <v>0</v>
      </c>
      <c r="W171" s="919" t="s">
        <v>1650</v>
      </c>
      <c r="X171" s="553" t="s">
        <v>46</v>
      </c>
      <c r="Y171" s="891" t="s">
        <v>854</v>
      </c>
      <c r="Z171" s="774" t="s">
        <v>829</v>
      </c>
      <c r="AA171" s="774" t="s">
        <v>829</v>
      </c>
    </row>
    <row r="172" spans="1:27" s="464" customFormat="1" ht="28.5" customHeight="1" x14ac:dyDescent="0.25">
      <c r="A172" s="728" t="s">
        <v>1315</v>
      </c>
      <c r="B172" s="533" t="s">
        <v>1551</v>
      </c>
      <c r="C172" s="746">
        <v>2019</v>
      </c>
      <c r="D172" s="461" t="s">
        <v>1843</v>
      </c>
      <c r="E172" s="800" t="s">
        <v>76</v>
      </c>
      <c r="F172" s="730" t="s">
        <v>76</v>
      </c>
      <c r="G172" s="823" t="s">
        <v>1316</v>
      </c>
      <c r="H172" s="462">
        <v>3323.6473599999999</v>
      </c>
      <c r="I172" s="462">
        <v>0</v>
      </c>
      <c r="J172" s="1439">
        <v>3417.5469900000003</v>
      </c>
      <c r="K172" s="1174">
        <v>3323.6473599999999</v>
      </c>
      <c r="L172" s="1527">
        <v>0</v>
      </c>
      <c r="M172" s="736">
        <v>0</v>
      </c>
      <c r="N172" s="734">
        <v>0</v>
      </c>
      <c r="O172" s="735">
        <v>0</v>
      </c>
      <c r="P172" s="1795">
        <f>3417.54699-3323.64736</f>
        <v>93.899629999999888</v>
      </c>
      <c r="Q172" s="1796">
        <f>P172*(-1)</f>
        <v>-93.899629999999888</v>
      </c>
      <c r="R172" s="1721">
        <f t="shared" si="8"/>
        <v>0</v>
      </c>
      <c r="S172" s="733">
        <v>0</v>
      </c>
      <c r="T172" s="732">
        <v>0</v>
      </c>
      <c r="U172" s="938">
        <v>0</v>
      </c>
      <c r="V172" s="732">
        <v>0</v>
      </c>
      <c r="W172" s="746" t="s">
        <v>1651</v>
      </c>
      <c r="X172" s="461" t="s">
        <v>866</v>
      </c>
      <c r="Y172" s="939" t="s">
        <v>562</v>
      </c>
      <c r="Z172" s="798" t="s">
        <v>829</v>
      </c>
      <c r="AA172" s="798" t="s">
        <v>829</v>
      </c>
    </row>
    <row r="173" spans="1:27" s="454" customFormat="1" ht="28.5" customHeight="1" x14ac:dyDescent="0.25">
      <c r="A173" s="927" t="s">
        <v>1317</v>
      </c>
      <c r="B173" s="928" t="s">
        <v>1564</v>
      </c>
      <c r="C173" s="716">
        <v>2019</v>
      </c>
      <c r="D173" s="428" t="s">
        <v>1843</v>
      </c>
      <c r="E173" s="929" t="s">
        <v>76</v>
      </c>
      <c r="F173" s="930" t="s">
        <v>76</v>
      </c>
      <c r="G173" s="943" t="s">
        <v>1318</v>
      </c>
      <c r="H173" s="455">
        <v>4199.6873599999999</v>
      </c>
      <c r="I173" s="455">
        <v>0</v>
      </c>
      <c r="J173" s="1438">
        <v>4256.6402500000004</v>
      </c>
      <c r="K173" s="1131">
        <v>4199.6873599999999</v>
      </c>
      <c r="L173" s="1529">
        <v>0</v>
      </c>
      <c r="M173" s="932">
        <v>0</v>
      </c>
      <c r="N173" s="933">
        <v>0</v>
      </c>
      <c r="O173" s="1535">
        <v>0</v>
      </c>
      <c r="P173" s="1800">
        <f>4256.64025-4199.68736</f>
        <v>56.95289000000048</v>
      </c>
      <c r="Q173" s="1801">
        <f>P173*-1</f>
        <v>-56.95289000000048</v>
      </c>
      <c r="R173" s="1728">
        <f t="shared" si="8"/>
        <v>0</v>
      </c>
      <c r="S173" s="827">
        <v>0</v>
      </c>
      <c r="T173" s="934">
        <v>0</v>
      </c>
      <c r="U173" s="935">
        <v>0</v>
      </c>
      <c r="V173" s="934">
        <v>0</v>
      </c>
      <c r="W173" s="716" t="s">
        <v>1652</v>
      </c>
      <c r="X173" s="428" t="s">
        <v>46</v>
      </c>
      <c r="Y173" s="936" t="s">
        <v>854</v>
      </c>
      <c r="Z173" s="832" t="s">
        <v>829</v>
      </c>
      <c r="AA173" s="832" t="s">
        <v>829</v>
      </c>
    </row>
    <row r="174" spans="1:27" s="464" customFormat="1" ht="28.5" customHeight="1" x14ac:dyDescent="0.25">
      <c r="A174" s="728" t="s">
        <v>1319</v>
      </c>
      <c r="B174" s="533" t="s">
        <v>1552</v>
      </c>
      <c r="C174" s="746">
        <v>2019</v>
      </c>
      <c r="D174" s="461" t="s">
        <v>1843</v>
      </c>
      <c r="E174" s="800" t="s">
        <v>76</v>
      </c>
      <c r="F174" s="730" t="s">
        <v>76</v>
      </c>
      <c r="G174" s="823" t="s">
        <v>1320</v>
      </c>
      <c r="H174" s="462">
        <v>2011.71496</v>
      </c>
      <c r="I174" s="462">
        <v>0</v>
      </c>
      <c r="J174" s="1439">
        <v>2130.5592900000001</v>
      </c>
      <c r="K174" s="1174">
        <v>2011.71496</v>
      </c>
      <c r="L174" s="1527">
        <v>0</v>
      </c>
      <c r="M174" s="736">
        <v>0</v>
      </c>
      <c r="N174" s="734">
        <v>0</v>
      </c>
      <c r="O174" s="735">
        <v>0</v>
      </c>
      <c r="P174" s="1795">
        <f>2130.55929-2011.71496</f>
        <v>118.84433000000013</v>
      </c>
      <c r="Q174" s="1796">
        <f t="shared" ref="Q174:Q178" si="10">P174*(-1)</f>
        <v>-118.84433000000013</v>
      </c>
      <c r="R174" s="1721">
        <f t="shared" si="8"/>
        <v>0</v>
      </c>
      <c r="S174" s="733">
        <v>0</v>
      </c>
      <c r="T174" s="732">
        <v>0</v>
      </c>
      <c r="U174" s="938">
        <v>0</v>
      </c>
      <c r="V174" s="732">
        <v>0</v>
      </c>
      <c r="W174" s="746" t="s">
        <v>1653</v>
      </c>
      <c r="X174" s="461" t="s">
        <v>866</v>
      </c>
      <c r="Y174" s="939" t="s">
        <v>562</v>
      </c>
      <c r="Z174" s="798" t="s">
        <v>829</v>
      </c>
      <c r="AA174" s="798" t="s">
        <v>829</v>
      </c>
    </row>
    <row r="175" spans="1:27" s="464" customFormat="1" ht="28.5" customHeight="1" x14ac:dyDescent="0.25">
      <c r="A175" s="728" t="s">
        <v>1321</v>
      </c>
      <c r="B175" s="533" t="s">
        <v>1534</v>
      </c>
      <c r="C175" s="746">
        <v>2019</v>
      </c>
      <c r="D175" s="461" t="s">
        <v>1843</v>
      </c>
      <c r="E175" s="800" t="s">
        <v>76</v>
      </c>
      <c r="F175" s="730" t="s">
        <v>76</v>
      </c>
      <c r="G175" s="823" t="s">
        <v>1322</v>
      </c>
      <c r="H175" s="462">
        <v>1739.69444</v>
      </c>
      <c r="I175" s="462">
        <v>0</v>
      </c>
      <c r="J175" s="1439">
        <v>1775.3035300000001</v>
      </c>
      <c r="K175" s="1174">
        <v>1739.69444</v>
      </c>
      <c r="L175" s="1527">
        <v>0</v>
      </c>
      <c r="M175" s="736">
        <v>0</v>
      </c>
      <c r="N175" s="734">
        <v>0</v>
      </c>
      <c r="O175" s="735">
        <v>0</v>
      </c>
      <c r="P175" s="1795">
        <f>1775.30353-1739.69444</f>
        <v>35.609089999999924</v>
      </c>
      <c r="Q175" s="1796">
        <f t="shared" si="10"/>
        <v>-35.609089999999924</v>
      </c>
      <c r="R175" s="1721">
        <f t="shared" ref="R175:R227" si="11">P175+Q175</f>
        <v>0</v>
      </c>
      <c r="S175" s="733">
        <v>0</v>
      </c>
      <c r="T175" s="732">
        <v>0</v>
      </c>
      <c r="U175" s="938">
        <v>0</v>
      </c>
      <c r="V175" s="732">
        <v>0</v>
      </c>
      <c r="W175" s="746" t="s">
        <v>1654</v>
      </c>
      <c r="X175" s="461" t="s">
        <v>866</v>
      </c>
      <c r="Y175" s="939" t="s">
        <v>562</v>
      </c>
      <c r="Z175" s="798" t="s">
        <v>829</v>
      </c>
      <c r="AA175" s="798" t="s">
        <v>829</v>
      </c>
    </row>
    <row r="176" spans="1:27" s="454" customFormat="1" ht="28.5" customHeight="1" x14ac:dyDescent="0.25">
      <c r="A176" s="728" t="s">
        <v>1323</v>
      </c>
      <c r="B176" s="533" t="s">
        <v>1892</v>
      </c>
      <c r="C176" s="746">
        <v>2019</v>
      </c>
      <c r="D176" s="461" t="s">
        <v>1843</v>
      </c>
      <c r="E176" s="800" t="s">
        <v>76</v>
      </c>
      <c r="F176" s="730" t="s">
        <v>76</v>
      </c>
      <c r="G176" s="823" t="s">
        <v>1324</v>
      </c>
      <c r="H176" s="462">
        <v>2726.5208299999999</v>
      </c>
      <c r="I176" s="462">
        <v>0</v>
      </c>
      <c r="J176" s="1439">
        <v>2758.2633700000001</v>
      </c>
      <c r="K176" s="1174">
        <v>2726.5208299999999</v>
      </c>
      <c r="L176" s="1548">
        <v>0</v>
      </c>
      <c r="M176" s="733">
        <v>0</v>
      </c>
      <c r="N176" s="734">
        <v>0</v>
      </c>
      <c r="O176" s="735">
        <v>0</v>
      </c>
      <c r="P176" s="1795">
        <f>2758.26337-2726.52083</f>
        <v>31.74254000000019</v>
      </c>
      <c r="Q176" s="1796">
        <v>-31.742540000000002</v>
      </c>
      <c r="R176" s="1721">
        <f t="shared" si="11"/>
        <v>1.8829382497642655E-13</v>
      </c>
      <c r="S176" s="733">
        <v>0</v>
      </c>
      <c r="T176" s="732">
        <v>0</v>
      </c>
      <c r="U176" s="938">
        <v>0</v>
      </c>
      <c r="V176" s="732">
        <v>0</v>
      </c>
      <c r="W176" s="746" t="s">
        <v>1893</v>
      </c>
      <c r="X176" s="461" t="s">
        <v>866</v>
      </c>
      <c r="Y176" s="939" t="s">
        <v>305</v>
      </c>
      <c r="Z176" s="798" t="s">
        <v>829</v>
      </c>
      <c r="AA176" s="798" t="s">
        <v>829</v>
      </c>
    </row>
    <row r="177" spans="1:27" s="464" customFormat="1" ht="28.5" customHeight="1" x14ac:dyDescent="0.25">
      <c r="A177" s="728" t="s">
        <v>1325</v>
      </c>
      <c r="B177" s="533" t="s">
        <v>1553</v>
      </c>
      <c r="C177" s="746">
        <v>2019</v>
      </c>
      <c r="D177" s="461" t="s">
        <v>1843</v>
      </c>
      <c r="E177" s="800" t="s">
        <v>76</v>
      </c>
      <c r="F177" s="730" t="s">
        <v>76</v>
      </c>
      <c r="G177" s="823" t="s">
        <v>1326</v>
      </c>
      <c r="H177" s="462">
        <v>3025.5856399999998</v>
      </c>
      <c r="I177" s="462">
        <v>0</v>
      </c>
      <c r="J177" s="1439">
        <v>3095.13886</v>
      </c>
      <c r="K177" s="1174">
        <v>3025.5856399999998</v>
      </c>
      <c r="L177" s="1527">
        <v>0</v>
      </c>
      <c r="M177" s="736">
        <v>0</v>
      </c>
      <c r="N177" s="734">
        <v>0</v>
      </c>
      <c r="O177" s="735">
        <v>0</v>
      </c>
      <c r="P177" s="1795">
        <v>69.553219999999996</v>
      </c>
      <c r="Q177" s="1796">
        <f t="shared" si="10"/>
        <v>-69.553219999999996</v>
      </c>
      <c r="R177" s="1721">
        <f t="shared" si="11"/>
        <v>0</v>
      </c>
      <c r="S177" s="733">
        <v>0</v>
      </c>
      <c r="T177" s="732">
        <v>0</v>
      </c>
      <c r="U177" s="938">
        <v>0</v>
      </c>
      <c r="V177" s="732">
        <v>0</v>
      </c>
      <c r="W177" s="746" t="s">
        <v>1655</v>
      </c>
      <c r="X177" s="461" t="s">
        <v>866</v>
      </c>
      <c r="Y177" s="939" t="s">
        <v>562</v>
      </c>
      <c r="Z177" s="798" t="s">
        <v>829</v>
      </c>
      <c r="AA177" s="798" t="s">
        <v>829</v>
      </c>
    </row>
    <row r="178" spans="1:27" s="464" customFormat="1" ht="28.5" customHeight="1" x14ac:dyDescent="0.25">
      <c r="A178" s="728" t="s">
        <v>1327</v>
      </c>
      <c r="B178" s="533" t="s">
        <v>1554</v>
      </c>
      <c r="C178" s="746">
        <v>2019</v>
      </c>
      <c r="D178" s="461" t="s">
        <v>1843</v>
      </c>
      <c r="E178" s="800" t="s">
        <v>76</v>
      </c>
      <c r="F178" s="730" t="s">
        <v>76</v>
      </c>
      <c r="G178" s="823" t="s">
        <v>1328</v>
      </c>
      <c r="H178" s="462">
        <v>2042.7292600000001</v>
      </c>
      <c r="I178" s="462">
        <v>0</v>
      </c>
      <c r="J178" s="1439">
        <v>2141.9618300000002</v>
      </c>
      <c r="K178" s="1174">
        <v>2042.7292600000001</v>
      </c>
      <c r="L178" s="1527">
        <v>0</v>
      </c>
      <c r="M178" s="736">
        <v>0</v>
      </c>
      <c r="N178" s="734">
        <v>0</v>
      </c>
      <c r="O178" s="735">
        <v>0</v>
      </c>
      <c r="P178" s="1795">
        <f>2141.96183-2042.72926</f>
        <v>99.232570000000123</v>
      </c>
      <c r="Q178" s="1796">
        <f t="shared" si="10"/>
        <v>-99.232570000000123</v>
      </c>
      <c r="R178" s="1721">
        <f t="shared" si="11"/>
        <v>0</v>
      </c>
      <c r="S178" s="733">
        <v>0</v>
      </c>
      <c r="T178" s="732">
        <v>0</v>
      </c>
      <c r="U178" s="938">
        <v>0</v>
      </c>
      <c r="V178" s="732">
        <v>0</v>
      </c>
      <c r="W178" s="746" t="s">
        <v>1656</v>
      </c>
      <c r="X178" s="461" t="s">
        <v>866</v>
      </c>
      <c r="Y178" s="939" t="s">
        <v>562</v>
      </c>
      <c r="Z178" s="798" t="s">
        <v>829</v>
      </c>
      <c r="AA178" s="798" t="s">
        <v>829</v>
      </c>
    </row>
    <row r="179" spans="1:27" s="454" customFormat="1" ht="28.5" customHeight="1" x14ac:dyDescent="0.25">
      <c r="A179" s="728" t="s">
        <v>1329</v>
      </c>
      <c r="B179" s="533" t="s">
        <v>1894</v>
      </c>
      <c r="C179" s="746">
        <v>2019</v>
      </c>
      <c r="D179" s="461" t="s">
        <v>1843</v>
      </c>
      <c r="E179" s="800" t="s">
        <v>76</v>
      </c>
      <c r="F179" s="730" t="s">
        <v>76</v>
      </c>
      <c r="G179" s="823" t="s">
        <v>1330</v>
      </c>
      <c r="H179" s="462">
        <v>1486.49793</v>
      </c>
      <c r="I179" s="462">
        <v>0</v>
      </c>
      <c r="J179" s="1439">
        <v>1565.29412</v>
      </c>
      <c r="K179" s="1174">
        <v>1486.49793</v>
      </c>
      <c r="L179" s="1527">
        <v>0</v>
      </c>
      <c r="M179" s="736">
        <v>0</v>
      </c>
      <c r="N179" s="734">
        <v>0</v>
      </c>
      <c r="O179" s="735">
        <v>0</v>
      </c>
      <c r="P179" s="1795">
        <f>1565.29412-1486.49793</f>
        <v>78.796190000000024</v>
      </c>
      <c r="Q179" s="1796">
        <v>-78.796189999999996</v>
      </c>
      <c r="R179" s="1721">
        <f t="shared" si="11"/>
        <v>0</v>
      </c>
      <c r="S179" s="733">
        <v>0</v>
      </c>
      <c r="T179" s="732">
        <v>0</v>
      </c>
      <c r="U179" s="938">
        <v>0</v>
      </c>
      <c r="V179" s="732">
        <v>0</v>
      </c>
      <c r="W179" s="746" t="s">
        <v>1895</v>
      </c>
      <c r="X179" s="461" t="s">
        <v>866</v>
      </c>
      <c r="Y179" s="939" t="s">
        <v>305</v>
      </c>
      <c r="Z179" s="798" t="s">
        <v>829</v>
      </c>
      <c r="AA179" s="798" t="s">
        <v>829</v>
      </c>
    </row>
    <row r="180" spans="1:27" s="470" customFormat="1" ht="27" customHeight="1" x14ac:dyDescent="0.25">
      <c r="A180" s="892" t="s">
        <v>1331</v>
      </c>
      <c r="B180" s="893" t="s">
        <v>794</v>
      </c>
      <c r="C180" s="924">
        <v>2019</v>
      </c>
      <c r="D180" s="580" t="s">
        <v>1843</v>
      </c>
      <c r="E180" s="925" t="s">
        <v>76</v>
      </c>
      <c r="F180" s="895" t="s">
        <v>76</v>
      </c>
      <c r="G180" s="1636" t="s">
        <v>1332</v>
      </c>
      <c r="H180" s="784">
        <v>5906</v>
      </c>
      <c r="I180" s="783">
        <v>0</v>
      </c>
      <c r="J180" s="783">
        <v>4935.9898300000004</v>
      </c>
      <c r="K180" s="1435">
        <v>0</v>
      </c>
      <c r="L180" s="1526">
        <v>4935.9898300000004</v>
      </c>
      <c r="M180" s="926">
        <v>0</v>
      </c>
      <c r="N180" s="897">
        <v>970.01017000000002</v>
      </c>
      <c r="O180" s="1215">
        <v>0</v>
      </c>
      <c r="P180" s="1453">
        <v>4935.9898300000004</v>
      </c>
      <c r="Q180" s="1118">
        <v>970.01017000000002</v>
      </c>
      <c r="R180" s="1726">
        <f t="shared" si="11"/>
        <v>5906</v>
      </c>
      <c r="S180" s="786">
        <v>0</v>
      </c>
      <c r="T180" s="900">
        <v>0</v>
      </c>
      <c r="U180" s="899">
        <v>0</v>
      </c>
      <c r="V180" s="900">
        <v>0</v>
      </c>
      <c r="W180" s="924" t="s">
        <v>1958</v>
      </c>
      <c r="X180" s="580" t="s">
        <v>46</v>
      </c>
      <c r="Y180" s="902" t="s">
        <v>883</v>
      </c>
      <c r="Z180" s="791" t="s">
        <v>829</v>
      </c>
      <c r="AA180" s="791" t="s">
        <v>829</v>
      </c>
    </row>
    <row r="181" spans="1:27" s="454" customFormat="1" ht="27" customHeight="1" x14ac:dyDescent="0.25">
      <c r="A181" s="728" t="s">
        <v>1333</v>
      </c>
      <c r="B181" s="533" t="s">
        <v>1896</v>
      </c>
      <c r="C181" s="746">
        <v>2019</v>
      </c>
      <c r="D181" s="461" t="s">
        <v>1843</v>
      </c>
      <c r="E181" s="800" t="s">
        <v>76</v>
      </c>
      <c r="F181" s="730" t="s">
        <v>76</v>
      </c>
      <c r="G181" s="823" t="s">
        <v>1334</v>
      </c>
      <c r="H181" s="462">
        <v>1498.02449</v>
      </c>
      <c r="I181" s="462">
        <v>0</v>
      </c>
      <c r="J181" s="1439">
        <v>3581.4274500000001</v>
      </c>
      <c r="K181" s="1174">
        <v>1498.02449</v>
      </c>
      <c r="L181" s="1527">
        <v>0</v>
      </c>
      <c r="M181" s="736">
        <v>0</v>
      </c>
      <c r="N181" s="734">
        <v>0</v>
      </c>
      <c r="O181" s="735">
        <v>0</v>
      </c>
      <c r="P181" s="1795">
        <f>3581.42745-1498.02449</f>
        <v>2083.4029600000003</v>
      </c>
      <c r="Q181" s="1796">
        <v>-2083.4029599999999</v>
      </c>
      <c r="R181" s="1721">
        <f t="shared" si="11"/>
        <v>0</v>
      </c>
      <c r="S181" s="733">
        <v>0</v>
      </c>
      <c r="T181" s="732">
        <v>0</v>
      </c>
      <c r="U181" s="938">
        <v>0</v>
      </c>
      <c r="V181" s="732">
        <v>0</v>
      </c>
      <c r="W181" s="746" t="s">
        <v>1657</v>
      </c>
      <c r="X181" s="461" t="s">
        <v>866</v>
      </c>
      <c r="Y181" s="939" t="s">
        <v>305</v>
      </c>
      <c r="Z181" s="798" t="s">
        <v>829</v>
      </c>
      <c r="AA181" s="798" t="s">
        <v>829</v>
      </c>
    </row>
    <row r="182" spans="1:27" s="454" customFormat="1" ht="27" customHeight="1" x14ac:dyDescent="0.25">
      <c r="A182" s="728" t="s">
        <v>1335</v>
      </c>
      <c r="B182" s="533" t="s">
        <v>1897</v>
      </c>
      <c r="C182" s="746">
        <v>2019</v>
      </c>
      <c r="D182" s="461" t="s">
        <v>1843</v>
      </c>
      <c r="E182" s="800" t="s">
        <v>76</v>
      </c>
      <c r="F182" s="730" t="s">
        <v>76</v>
      </c>
      <c r="G182" s="823" t="s">
        <v>1336</v>
      </c>
      <c r="H182" s="462">
        <v>1957.4944399999999</v>
      </c>
      <c r="I182" s="462">
        <v>0</v>
      </c>
      <c r="J182" s="1439">
        <v>2002.5818400000001</v>
      </c>
      <c r="K182" s="1174">
        <v>1957.4944399999999</v>
      </c>
      <c r="L182" s="1527">
        <v>0</v>
      </c>
      <c r="M182" s="736">
        <v>0</v>
      </c>
      <c r="N182" s="734">
        <v>0</v>
      </c>
      <c r="O182" s="735">
        <v>0</v>
      </c>
      <c r="P182" s="1795">
        <f>2002.58184-1957.49444</f>
        <v>45.087400000000116</v>
      </c>
      <c r="Q182" s="1796">
        <f>P182*-1</f>
        <v>-45.087400000000116</v>
      </c>
      <c r="R182" s="1721">
        <f t="shared" si="11"/>
        <v>0</v>
      </c>
      <c r="S182" s="733">
        <v>0</v>
      </c>
      <c r="T182" s="732">
        <v>0</v>
      </c>
      <c r="U182" s="938">
        <v>0</v>
      </c>
      <c r="V182" s="732">
        <v>0</v>
      </c>
      <c r="W182" s="746" t="s">
        <v>1658</v>
      </c>
      <c r="X182" s="461" t="s">
        <v>866</v>
      </c>
      <c r="Y182" s="939" t="s">
        <v>305</v>
      </c>
      <c r="Z182" s="798" t="s">
        <v>829</v>
      </c>
      <c r="AA182" s="798" t="s">
        <v>829</v>
      </c>
    </row>
    <row r="183" spans="1:27" ht="30" x14ac:dyDescent="0.25">
      <c r="A183" s="849" t="s">
        <v>1337</v>
      </c>
      <c r="B183" s="850" t="s">
        <v>794</v>
      </c>
      <c r="C183" s="919">
        <v>2019</v>
      </c>
      <c r="D183" s="553" t="s">
        <v>1843</v>
      </c>
      <c r="E183" s="802" t="s">
        <v>76</v>
      </c>
      <c r="F183" s="851" t="s">
        <v>76</v>
      </c>
      <c r="G183" s="903" t="s">
        <v>1338</v>
      </c>
      <c r="H183" s="767">
        <v>6538.1955499999995</v>
      </c>
      <c r="I183" s="767">
        <v>0</v>
      </c>
      <c r="J183" s="767">
        <v>6538.1955500000004</v>
      </c>
      <c r="K183" s="862">
        <v>0</v>
      </c>
      <c r="L183" s="1524">
        <v>6538.1955500000004</v>
      </c>
      <c r="M183" s="920">
        <v>0</v>
      </c>
      <c r="N183" s="841">
        <v>0</v>
      </c>
      <c r="O183" s="857">
        <v>0</v>
      </c>
      <c r="P183" s="778">
        <v>6538.1955499999995</v>
      </c>
      <c r="Q183" s="853">
        <v>0</v>
      </c>
      <c r="R183" s="1466">
        <f t="shared" si="11"/>
        <v>6538.1955499999995</v>
      </c>
      <c r="S183" s="756">
        <v>0</v>
      </c>
      <c r="T183" s="855">
        <v>0</v>
      </c>
      <c r="U183" s="890">
        <v>0</v>
      </c>
      <c r="V183" s="855">
        <v>0</v>
      </c>
      <c r="W183" s="919" t="s">
        <v>1659</v>
      </c>
      <c r="X183" s="553" t="s">
        <v>46</v>
      </c>
      <c r="Y183" s="891" t="s">
        <v>854</v>
      </c>
      <c r="Z183" s="774" t="s">
        <v>829</v>
      </c>
      <c r="AA183" s="774" t="s">
        <v>829</v>
      </c>
    </row>
    <row r="184" spans="1:27" s="464" customFormat="1" ht="28.5" customHeight="1" x14ac:dyDescent="0.25">
      <c r="A184" s="728" t="s">
        <v>1339</v>
      </c>
      <c r="B184" s="533" t="s">
        <v>1555</v>
      </c>
      <c r="C184" s="746">
        <v>2019</v>
      </c>
      <c r="D184" s="461" t="s">
        <v>1843</v>
      </c>
      <c r="E184" s="800" t="s">
        <v>76</v>
      </c>
      <c r="F184" s="730" t="s">
        <v>76</v>
      </c>
      <c r="G184" s="1605" t="s">
        <v>1340</v>
      </c>
      <c r="H184" s="585">
        <v>860.22257999999999</v>
      </c>
      <c r="I184" s="462">
        <v>0</v>
      </c>
      <c r="J184" s="1439">
        <v>905.36434999999994</v>
      </c>
      <c r="K184" s="1174">
        <v>860.22257999999999</v>
      </c>
      <c r="L184" s="1527">
        <v>0</v>
      </c>
      <c r="M184" s="736">
        <v>0</v>
      </c>
      <c r="N184" s="734">
        <v>0</v>
      </c>
      <c r="O184" s="735">
        <v>0</v>
      </c>
      <c r="P184" s="1795">
        <f>905.36435-860.22258</f>
        <v>45.141769999999951</v>
      </c>
      <c r="Q184" s="1796">
        <f>P184*-1</f>
        <v>-45.141769999999951</v>
      </c>
      <c r="R184" s="1721">
        <f t="shared" si="11"/>
        <v>0</v>
      </c>
      <c r="S184" s="733">
        <v>0</v>
      </c>
      <c r="T184" s="732">
        <v>0</v>
      </c>
      <c r="U184" s="938">
        <v>0</v>
      </c>
      <c r="V184" s="732">
        <v>0</v>
      </c>
      <c r="W184" s="746" t="s">
        <v>1658</v>
      </c>
      <c r="X184" s="461" t="s">
        <v>866</v>
      </c>
      <c r="Y184" s="939" t="s">
        <v>562</v>
      </c>
      <c r="Z184" s="798" t="s">
        <v>829</v>
      </c>
      <c r="AA184" s="798" t="s">
        <v>829</v>
      </c>
    </row>
    <row r="185" spans="1:27" s="454" customFormat="1" ht="28.5" customHeight="1" x14ac:dyDescent="0.25">
      <c r="A185" s="728" t="s">
        <v>1341</v>
      </c>
      <c r="B185" s="533" t="s">
        <v>1898</v>
      </c>
      <c r="C185" s="746">
        <v>2019</v>
      </c>
      <c r="D185" s="461" t="s">
        <v>1843</v>
      </c>
      <c r="E185" s="800" t="s">
        <v>76</v>
      </c>
      <c r="F185" s="730" t="s">
        <v>76</v>
      </c>
      <c r="G185" s="1606" t="s">
        <v>1342</v>
      </c>
      <c r="H185" s="462">
        <v>1737.5721000000001</v>
      </c>
      <c r="I185" s="462">
        <v>0</v>
      </c>
      <c r="J185" s="1439">
        <v>1807.4541100000001</v>
      </c>
      <c r="K185" s="1174">
        <v>1737.5721000000001</v>
      </c>
      <c r="L185" s="1527">
        <v>0</v>
      </c>
      <c r="M185" s="736">
        <v>0</v>
      </c>
      <c r="N185" s="734">
        <v>0</v>
      </c>
      <c r="O185" s="735">
        <v>0</v>
      </c>
      <c r="P185" s="1795">
        <f>1807.45411-1737.5721</f>
        <v>69.882009999999809</v>
      </c>
      <c r="Q185" s="1796">
        <f>-1*P185</f>
        <v>-69.882009999999809</v>
      </c>
      <c r="R185" s="1721">
        <f t="shared" si="11"/>
        <v>0</v>
      </c>
      <c r="S185" s="733">
        <v>0</v>
      </c>
      <c r="T185" s="732">
        <v>0</v>
      </c>
      <c r="U185" s="938">
        <v>0</v>
      </c>
      <c r="V185" s="732">
        <v>0</v>
      </c>
      <c r="W185" s="746" t="s">
        <v>1655</v>
      </c>
      <c r="X185" s="461" t="s">
        <v>866</v>
      </c>
      <c r="Y185" s="939" t="s">
        <v>305</v>
      </c>
      <c r="Z185" s="798" t="s">
        <v>829</v>
      </c>
      <c r="AA185" s="798" t="s">
        <v>829</v>
      </c>
    </row>
    <row r="186" spans="1:27" ht="25.5" x14ac:dyDescent="0.25">
      <c r="A186" s="849" t="s">
        <v>1343</v>
      </c>
      <c r="B186" s="850" t="s">
        <v>794</v>
      </c>
      <c r="C186" s="919">
        <v>2019</v>
      </c>
      <c r="D186" s="553" t="s">
        <v>1843</v>
      </c>
      <c r="E186" s="802" t="s">
        <v>76</v>
      </c>
      <c r="F186" s="851" t="s">
        <v>76</v>
      </c>
      <c r="G186" s="945" t="s">
        <v>1344</v>
      </c>
      <c r="H186" s="767">
        <v>3681.58835</v>
      </c>
      <c r="I186" s="767">
        <v>0</v>
      </c>
      <c r="J186" s="767">
        <v>3681.58835</v>
      </c>
      <c r="K186" s="862">
        <v>0</v>
      </c>
      <c r="L186" s="1524">
        <v>0</v>
      </c>
      <c r="M186" s="923">
        <v>3681.58835</v>
      </c>
      <c r="N186" s="921">
        <v>0</v>
      </c>
      <c r="O186" s="857">
        <v>0</v>
      </c>
      <c r="P186" s="778">
        <v>3681.58835</v>
      </c>
      <c r="Q186" s="853">
        <v>0</v>
      </c>
      <c r="R186" s="1466">
        <f t="shared" si="11"/>
        <v>3681.58835</v>
      </c>
      <c r="S186" s="756">
        <v>0</v>
      </c>
      <c r="T186" s="855">
        <v>0</v>
      </c>
      <c r="U186" s="890">
        <v>0</v>
      </c>
      <c r="V186" s="855">
        <v>0</v>
      </c>
      <c r="W186" s="919" t="s">
        <v>1660</v>
      </c>
      <c r="X186" s="553" t="s">
        <v>46</v>
      </c>
      <c r="Y186" s="891" t="s">
        <v>925</v>
      </c>
      <c r="Z186" s="774" t="s">
        <v>829</v>
      </c>
      <c r="AA186" s="774" t="s">
        <v>829</v>
      </c>
    </row>
    <row r="187" spans="1:27" s="464" customFormat="1" ht="27.75" customHeight="1" x14ac:dyDescent="0.25">
      <c r="A187" s="728" t="s">
        <v>1345</v>
      </c>
      <c r="B187" s="533" t="s">
        <v>1556</v>
      </c>
      <c r="C187" s="746">
        <v>2019</v>
      </c>
      <c r="D187" s="461" t="s">
        <v>1843</v>
      </c>
      <c r="E187" s="800" t="s">
        <v>76</v>
      </c>
      <c r="F187" s="730" t="s">
        <v>76</v>
      </c>
      <c r="G187" s="944" t="s">
        <v>1346</v>
      </c>
      <c r="H187" s="462">
        <v>3106.761</v>
      </c>
      <c r="I187" s="462">
        <v>0</v>
      </c>
      <c r="J187" s="1439">
        <v>3155.76712</v>
      </c>
      <c r="K187" s="1174">
        <v>3106.761</v>
      </c>
      <c r="L187" s="1527">
        <v>0</v>
      </c>
      <c r="M187" s="736">
        <v>0</v>
      </c>
      <c r="N187" s="734">
        <v>0</v>
      </c>
      <c r="O187" s="735">
        <v>0</v>
      </c>
      <c r="P187" s="1795">
        <v>49.00612000000001</v>
      </c>
      <c r="Q187" s="1796">
        <f>P187*-1</f>
        <v>-49.00612000000001</v>
      </c>
      <c r="R187" s="1721">
        <f t="shared" si="11"/>
        <v>0</v>
      </c>
      <c r="S187" s="733">
        <v>0</v>
      </c>
      <c r="T187" s="732">
        <v>0</v>
      </c>
      <c r="U187" s="938">
        <v>0</v>
      </c>
      <c r="V187" s="732">
        <v>0</v>
      </c>
      <c r="W187" s="746" t="s">
        <v>1661</v>
      </c>
      <c r="X187" s="461" t="s">
        <v>866</v>
      </c>
      <c r="Y187" s="939" t="s">
        <v>562</v>
      </c>
      <c r="Z187" s="798" t="s">
        <v>829</v>
      </c>
      <c r="AA187" s="798" t="s">
        <v>829</v>
      </c>
    </row>
    <row r="188" spans="1:27" s="464" customFormat="1" ht="27.75" customHeight="1" x14ac:dyDescent="0.25">
      <c r="A188" s="728" t="s">
        <v>1347</v>
      </c>
      <c r="B188" s="533" t="s">
        <v>1557</v>
      </c>
      <c r="C188" s="746">
        <v>2019</v>
      </c>
      <c r="D188" s="461" t="s">
        <v>1843</v>
      </c>
      <c r="E188" s="800" t="s">
        <v>76</v>
      </c>
      <c r="F188" s="730" t="s">
        <v>76</v>
      </c>
      <c r="G188" s="944" t="s">
        <v>1348</v>
      </c>
      <c r="H188" s="462">
        <v>2276.0287600000001</v>
      </c>
      <c r="I188" s="462">
        <v>0</v>
      </c>
      <c r="J188" s="1439">
        <v>2301.4405699999998</v>
      </c>
      <c r="K188" s="1174">
        <v>2276.0287600000001</v>
      </c>
      <c r="L188" s="1527">
        <v>0</v>
      </c>
      <c r="M188" s="736">
        <v>0</v>
      </c>
      <c r="N188" s="734">
        <v>0</v>
      </c>
      <c r="O188" s="735">
        <v>0</v>
      </c>
      <c r="P188" s="1795">
        <f>2301.44057-2276.02876</f>
        <v>25.41181000000006</v>
      </c>
      <c r="Q188" s="1796">
        <f>P188*-1</f>
        <v>-25.41181000000006</v>
      </c>
      <c r="R188" s="1721">
        <f t="shared" si="11"/>
        <v>0</v>
      </c>
      <c r="S188" s="733">
        <v>0</v>
      </c>
      <c r="T188" s="732">
        <v>0</v>
      </c>
      <c r="U188" s="938">
        <v>0</v>
      </c>
      <c r="V188" s="732">
        <v>0</v>
      </c>
      <c r="W188" s="746" t="s">
        <v>1465</v>
      </c>
      <c r="X188" s="461" t="s">
        <v>866</v>
      </c>
      <c r="Y188" s="939" t="s">
        <v>562</v>
      </c>
      <c r="Z188" s="798" t="s">
        <v>829</v>
      </c>
      <c r="AA188" s="798" t="s">
        <v>829</v>
      </c>
    </row>
    <row r="189" spans="1:27" s="454" customFormat="1" ht="27.75" customHeight="1" x14ac:dyDescent="0.25">
      <c r="A189" s="728" t="s">
        <v>1349</v>
      </c>
      <c r="B189" s="533" t="s">
        <v>1899</v>
      </c>
      <c r="C189" s="746">
        <v>2019</v>
      </c>
      <c r="D189" s="461" t="s">
        <v>1843</v>
      </c>
      <c r="E189" s="800" t="s">
        <v>76</v>
      </c>
      <c r="F189" s="730" t="s">
        <v>76</v>
      </c>
      <c r="G189" s="823" t="s">
        <v>1350</v>
      </c>
      <c r="H189" s="462">
        <v>822.65480000000002</v>
      </c>
      <c r="I189" s="462">
        <v>0</v>
      </c>
      <c r="J189" s="1439">
        <v>848.11804000000006</v>
      </c>
      <c r="K189" s="1174">
        <v>822.65480000000002</v>
      </c>
      <c r="L189" s="1527">
        <v>0</v>
      </c>
      <c r="M189" s="736">
        <v>0</v>
      </c>
      <c r="N189" s="734">
        <v>0</v>
      </c>
      <c r="O189" s="735">
        <v>0</v>
      </c>
      <c r="P189" s="1795">
        <f>848.11804-822.6548</f>
        <v>25.463239999999928</v>
      </c>
      <c r="Q189" s="1796">
        <f>-1*P189</f>
        <v>-25.463239999999928</v>
      </c>
      <c r="R189" s="1721">
        <f t="shared" si="11"/>
        <v>0</v>
      </c>
      <c r="S189" s="733">
        <v>0</v>
      </c>
      <c r="T189" s="732">
        <v>0</v>
      </c>
      <c r="U189" s="938">
        <v>0</v>
      </c>
      <c r="V189" s="732">
        <v>0</v>
      </c>
      <c r="W189" s="746" t="s">
        <v>1465</v>
      </c>
      <c r="X189" s="461" t="s">
        <v>866</v>
      </c>
      <c r="Y189" s="939" t="s">
        <v>305</v>
      </c>
      <c r="Z189" s="798" t="s">
        <v>829</v>
      </c>
      <c r="AA189" s="798" t="s">
        <v>829</v>
      </c>
    </row>
    <row r="190" spans="1:27" ht="33.75" customHeight="1" x14ac:dyDescent="0.25">
      <c r="A190" s="849" t="s">
        <v>1351</v>
      </c>
      <c r="B190" s="850" t="s">
        <v>794</v>
      </c>
      <c r="C190" s="919">
        <v>2019</v>
      </c>
      <c r="D190" s="553" t="s">
        <v>1843</v>
      </c>
      <c r="E190" s="802" t="s">
        <v>76</v>
      </c>
      <c r="F190" s="851" t="s">
        <v>76</v>
      </c>
      <c r="G190" s="839" t="s">
        <v>1352</v>
      </c>
      <c r="H190" s="767">
        <v>6871.5343400000002</v>
      </c>
      <c r="I190" s="767">
        <v>0</v>
      </c>
      <c r="J190" s="767">
        <v>6871.5343400000002</v>
      </c>
      <c r="K190" s="862">
        <v>0</v>
      </c>
      <c r="L190" s="1524">
        <v>0</v>
      </c>
      <c r="M190" s="923">
        <v>6871.5343400000002</v>
      </c>
      <c r="N190" s="921">
        <v>0</v>
      </c>
      <c r="O190" s="857">
        <v>0</v>
      </c>
      <c r="P190" s="778">
        <v>6871.5343400000002</v>
      </c>
      <c r="Q190" s="853">
        <v>0</v>
      </c>
      <c r="R190" s="1466">
        <f t="shared" si="11"/>
        <v>6871.5343400000002</v>
      </c>
      <c r="S190" s="756">
        <v>0</v>
      </c>
      <c r="T190" s="855">
        <v>0</v>
      </c>
      <c r="U190" s="890">
        <v>0</v>
      </c>
      <c r="V190" s="855">
        <v>0</v>
      </c>
      <c r="W190" s="919" t="s">
        <v>1840</v>
      </c>
      <c r="X190" s="553" t="s">
        <v>46</v>
      </c>
      <c r="Y190" s="891" t="s">
        <v>925</v>
      </c>
      <c r="Z190" s="774" t="s">
        <v>829</v>
      </c>
      <c r="AA190" s="774" t="s">
        <v>829</v>
      </c>
    </row>
    <row r="191" spans="1:27" ht="25.5" x14ac:dyDescent="0.25">
      <c r="A191" s="849" t="s">
        <v>1353</v>
      </c>
      <c r="B191" s="850" t="s">
        <v>1900</v>
      </c>
      <c r="C191" s="919">
        <v>2019</v>
      </c>
      <c r="D191" s="553" t="s">
        <v>1843</v>
      </c>
      <c r="E191" s="802" t="s">
        <v>76</v>
      </c>
      <c r="F191" s="851" t="s">
        <v>76</v>
      </c>
      <c r="G191" s="937" t="s">
        <v>1354</v>
      </c>
      <c r="H191" s="767">
        <v>2617.4199700000004</v>
      </c>
      <c r="I191" s="767">
        <v>0</v>
      </c>
      <c r="J191" s="767">
        <v>2617.4199700000004</v>
      </c>
      <c r="K191" s="862">
        <v>2573.9845999999998</v>
      </c>
      <c r="L191" s="1536">
        <f>2617.41997-2573.9846</f>
        <v>43.435370000000148</v>
      </c>
      <c r="M191" s="756">
        <v>0</v>
      </c>
      <c r="N191" s="841">
        <v>0</v>
      </c>
      <c r="O191" s="857">
        <v>0</v>
      </c>
      <c r="P191" s="778">
        <f>2617.41997-2573.9846</f>
        <v>43.435370000000148</v>
      </c>
      <c r="Q191" s="853">
        <v>0</v>
      </c>
      <c r="R191" s="1466">
        <f t="shared" si="11"/>
        <v>43.435370000000148</v>
      </c>
      <c r="S191" s="756">
        <v>0</v>
      </c>
      <c r="T191" s="855">
        <v>0</v>
      </c>
      <c r="U191" s="890">
        <v>0</v>
      </c>
      <c r="V191" s="855">
        <v>0</v>
      </c>
      <c r="W191" s="919" t="s">
        <v>1901</v>
      </c>
      <c r="X191" s="553" t="s">
        <v>46</v>
      </c>
      <c r="Y191" s="891" t="s">
        <v>977</v>
      </c>
      <c r="Z191" s="774" t="s">
        <v>829</v>
      </c>
      <c r="AA191" s="774" t="s">
        <v>829</v>
      </c>
    </row>
    <row r="192" spans="1:27" s="464" customFormat="1" ht="25.5" x14ac:dyDescent="0.25">
      <c r="A192" s="728" t="s">
        <v>1355</v>
      </c>
      <c r="B192" s="533" t="s">
        <v>1561</v>
      </c>
      <c r="C192" s="746">
        <v>2019</v>
      </c>
      <c r="D192" s="461" t="s">
        <v>1843</v>
      </c>
      <c r="E192" s="800" t="s">
        <v>76</v>
      </c>
      <c r="F192" s="730" t="s">
        <v>76</v>
      </c>
      <c r="G192" s="823" t="s">
        <v>1356</v>
      </c>
      <c r="H192" s="462">
        <f>783.5355-14.13522</f>
        <v>769.40027999999995</v>
      </c>
      <c r="I192" s="462">
        <v>0</v>
      </c>
      <c r="J192" s="1439">
        <v>783.53549999999996</v>
      </c>
      <c r="K192" s="1174">
        <v>769.40027999999995</v>
      </c>
      <c r="L192" s="1527">
        <v>0</v>
      </c>
      <c r="M192" s="736">
        <v>0</v>
      </c>
      <c r="N192" s="734">
        <v>0</v>
      </c>
      <c r="O192" s="735">
        <v>0</v>
      </c>
      <c r="P192" s="1795">
        <f>783.5355-769.40028</f>
        <v>14.135220000000004</v>
      </c>
      <c r="Q192" s="1796">
        <f>P192*-1</f>
        <v>-14.135220000000004</v>
      </c>
      <c r="R192" s="1721">
        <f t="shared" si="11"/>
        <v>0</v>
      </c>
      <c r="S192" s="733">
        <v>0</v>
      </c>
      <c r="T192" s="732">
        <v>0</v>
      </c>
      <c r="U192" s="938">
        <v>0</v>
      </c>
      <c r="V192" s="732">
        <v>0</v>
      </c>
      <c r="W192" s="746" t="s">
        <v>1662</v>
      </c>
      <c r="X192" s="461" t="s">
        <v>866</v>
      </c>
      <c r="Y192" s="939" t="s">
        <v>305</v>
      </c>
      <c r="Z192" s="798" t="s">
        <v>829</v>
      </c>
      <c r="AA192" s="798" t="s">
        <v>829</v>
      </c>
    </row>
    <row r="193" spans="1:27" s="464" customFormat="1" ht="25.5" x14ac:dyDescent="0.25">
      <c r="A193" s="728" t="s">
        <v>1357</v>
      </c>
      <c r="B193" s="533" t="s">
        <v>1558</v>
      </c>
      <c r="C193" s="746">
        <v>2019</v>
      </c>
      <c r="D193" s="461" t="s">
        <v>1843</v>
      </c>
      <c r="E193" s="730" t="s">
        <v>76</v>
      </c>
      <c r="F193" s="730" t="s">
        <v>76</v>
      </c>
      <c r="G193" s="823" t="s">
        <v>1358</v>
      </c>
      <c r="H193" s="462">
        <v>3753.5219299999999</v>
      </c>
      <c r="I193" s="462">
        <v>0</v>
      </c>
      <c r="J193" s="1439">
        <v>3839.72325</v>
      </c>
      <c r="K193" s="1174">
        <v>3753.5219299999999</v>
      </c>
      <c r="L193" s="1527">
        <v>0</v>
      </c>
      <c r="M193" s="736">
        <v>0</v>
      </c>
      <c r="N193" s="734">
        <v>0</v>
      </c>
      <c r="O193" s="735">
        <v>0</v>
      </c>
      <c r="P193" s="1795">
        <f>3839.72325-3753.52193</f>
        <v>86.201320000000123</v>
      </c>
      <c r="Q193" s="1796">
        <f>P193*-1</f>
        <v>-86.201320000000123</v>
      </c>
      <c r="R193" s="1721">
        <f t="shared" si="11"/>
        <v>0</v>
      </c>
      <c r="S193" s="733">
        <v>0</v>
      </c>
      <c r="T193" s="732">
        <v>0</v>
      </c>
      <c r="U193" s="938">
        <v>0</v>
      </c>
      <c r="V193" s="732">
        <v>0</v>
      </c>
      <c r="W193" s="746" t="s">
        <v>1663</v>
      </c>
      <c r="X193" s="461" t="s">
        <v>866</v>
      </c>
      <c r="Y193" s="939" t="s">
        <v>562</v>
      </c>
      <c r="Z193" s="798" t="s">
        <v>829</v>
      </c>
      <c r="AA193" s="798" t="s">
        <v>829</v>
      </c>
    </row>
    <row r="194" spans="1:27" ht="25.5" x14ac:dyDescent="0.25">
      <c r="A194" s="849" t="s">
        <v>1359</v>
      </c>
      <c r="B194" s="850" t="s">
        <v>794</v>
      </c>
      <c r="C194" s="919">
        <v>2019</v>
      </c>
      <c r="D194" s="553" t="s">
        <v>1843</v>
      </c>
      <c r="E194" s="851" t="s">
        <v>76</v>
      </c>
      <c r="F194" s="851" t="s">
        <v>76</v>
      </c>
      <c r="G194" s="937" t="s">
        <v>1360</v>
      </c>
      <c r="H194" s="767">
        <v>1888.4833000000001</v>
      </c>
      <c r="I194" s="767">
        <v>0</v>
      </c>
      <c r="J194" s="767">
        <v>1888.4833000000001</v>
      </c>
      <c r="K194" s="862">
        <v>0</v>
      </c>
      <c r="L194" s="1536">
        <v>1888.4833000000001</v>
      </c>
      <c r="M194" s="756">
        <v>0</v>
      </c>
      <c r="N194" s="841">
        <v>0</v>
      </c>
      <c r="O194" s="857">
        <v>0</v>
      </c>
      <c r="P194" s="778">
        <v>1888.4833000000001</v>
      </c>
      <c r="Q194" s="853">
        <v>0</v>
      </c>
      <c r="R194" s="1466">
        <f t="shared" si="11"/>
        <v>1888.4833000000001</v>
      </c>
      <c r="S194" s="756">
        <v>0</v>
      </c>
      <c r="T194" s="855">
        <v>0</v>
      </c>
      <c r="U194" s="890">
        <v>0</v>
      </c>
      <c r="V194" s="855">
        <v>0</v>
      </c>
      <c r="W194" s="919" t="s">
        <v>1664</v>
      </c>
      <c r="X194" s="553" t="s">
        <v>46</v>
      </c>
      <c r="Y194" s="891" t="s">
        <v>854</v>
      </c>
      <c r="Z194" s="774" t="s">
        <v>829</v>
      </c>
      <c r="AA194" s="774" t="s">
        <v>829</v>
      </c>
    </row>
    <row r="195" spans="1:27" ht="28.5" customHeight="1" x14ac:dyDescent="0.25">
      <c r="A195" s="849" t="s">
        <v>1361</v>
      </c>
      <c r="B195" s="850" t="s">
        <v>794</v>
      </c>
      <c r="C195" s="919">
        <v>2019</v>
      </c>
      <c r="D195" s="553" t="s">
        <v>1843</v>
      </c>
      <c r="E195" s="913" t="s">
        <v>76</v>
      </c>
      <c r="F195" s="851" t="s">
        <v>76</v>
      </c>
      <c r="G195" s="937" t="s">
        <v>1362</v>
      </c>
      <c r="H195" s="767">
        <v>7712.6319599999997</v>
      </c>
      <c r="I195" s="767">
        <v>0</v>
      </c>
      <c r="J195" s="767">
        <v>7712.6319599999997</v>
      </c>
      <c r="K195" s="862">
        <v>0</v>
      </c>
      <c r="L195" s="1524">
        <v>0</v>
      </c>
      <c r="M195" s="923">
        <v>7712.6319599999997</v>
      </c>
      <c r="N195" s="921">
        <v>0</v>
      </c>
      <c r="O195" s="857">
        <v>0</v>
      </c>
      <c r="P195" s="778">
        <v>7712.6319599999997</v>
      </c>
      <c r="Q195" s="853">
        <v>0</v>
      </c>
      <c r="R195" s="1466">
        <f t="shared" si="11"/>
        <v>7712.6319599999997</v>
      </c>
      <c r="S195" s="756">
        <v>0</v>
      </c>
      <c r="T195" s="855">
        <v>0</v>
      </c>
      <c r="U195" s="890">
        <v>0</v>
      </c>
      <c r="V195" s="855">
        <v>0</v>
      </c>
      <c r="W195" s="919" t="s">
        <v>1841</v>
      </c>
      <c r="X195" s="553" t="s">
        <v>46</v>
      </c>
      <c r="Y195" s="891" t="s">
        <v>859</v>
      </c>
      <c r="Z195" s="774" t="s">
        <v>829</v>
      </c>
      <c r="AA195" s="774" t="s">
        <v>829</v>
      </c>
    </row>
    <row r="196" spans="1:27" s="454" customFormat="1" ht="28.5" customHeight="1" x14ac:dyDescent="0.25">
      <c r="A196" s="728" t="s">
        <v>1363</v>
      </c>
      <c r="B196" s="533" t="s">
        <v>1902</v>
      </c>
      <c r="C196" s="746">
        <v>2019</v>
      </c>
      <c r="D196" s="461" t="s">
        <v>1843</v>
      </c>
      <c r="E196" s="800" t="s">
        <v>76</v>
      </c>
      <c r="F196" s="730" t="s">
        <v>76</v>
      </c>
      <c r="G196" s="823" t="s">
        <v>1364</v>
      </c>
      <c r="H196" s="462">
        <v>2337.6242900000002</v>
      </c>
      <c r="I196" s="462"/>
      <c r="J196" s="1439">
        <v>2672.9033100000001</v>
      </c>
      <c r="K196" s="1174">
        <v>2337.6242900000002</v>
      </c>
      <c r="L196" s="1548">
        <v>0</v>
      </c>
      <c r="M196" s="734">
        <v>0</v>
      </c>
      <c r="N196" s="734">
        <v>0</v>
      </c>
      <c r="O196" s="735">
        <v>0</v>
      </c>
      <c r="P196" s="1757">
        <f>2672.90331-2337.62429</f>
        <v>335.27901999999995</v>
      </c>
      <c r="Q196" s="1796">
        <v>-335.27902</v>
      </c>
      <c r="R196" s="1721">
        <f t="shared" si="11"/>
        <v>0</v>
      </c>
      <c r="S196" s="733">
        <v>0</v>
      </c>
      <c r="T196" s="732">
        <v>0</v>
      </c>
      <c r="U196" s="938">
        <v>0</v>
      </c>
      <c r="V196" s="732">
        <v>0</v>
      </c>
      <c r="W196" s="746" t="s">
        <v>1903</v>
      </c>
      <c r="X196" s="461" t="s">
        <v>866</v>
      </c>
      <c r="Y196" s="939" t="s">
        <v>305</v>
      </c>
      <c r="Z196" s="798" t="s">
        <v>829</v>
      </c>
      <c r="AA196" s="798" t="s">
        <v>829</v>
      </c>
    </row>
    <row r="197" spans="1:27" s="470" customFormat="1" ht="30" x14ac:dyDescent="0.25">
      <c r="A197" s="892" t="s">
        <v>1365</v>
      </c>
      <c r="B197" s="893" t="s">
        <v>1904</v>
      </c>
      <c r="C197" s="924">
        <v>2019</v>
      </c>
      <c r="D197" s="580" t="s">
        <v>1843</v>
      </c>
      <c r="E197" s="925" t="s">
        <v>76</v>
      </c>
      <c r="F197" s="895" t="s">
        <v>76</v>
      </c>
      <c r="G197" s="836" t="s">
        <v>1366</v>
      </c>
      <c r="H197" s="783">
        <v>3840</v>
      </c>
      <c r="I197" s="783">
        <v>0</v>
      </c>
      <c r="J197" s="783">
        <v>3300</v>
      </c>
      <c r="K197" s="1435">
        <v>2761.5522299999998</v>
      </c>
      <c r="L197" s="1537">
        <f>3300+540-2761.55223</f>
        <v>1078.4477700000002</v>
      </c>
      <c r="M197" s="786">
        <v>0</v>
      </c>
      <c r="N197" s="897">
        <v>0</v>
      </c>
      <c r="O197" s="1215">
        <v>0</v>
      </c>
      <c r="P197" s="1453">
        <f>3300-2761.55223</f>
        <v>538.44777000000022</v>
      </c>
      <c r="Q197" s="1118">
        <v>540</v>
      </c>
      <c r="R197" s="1726">
        <f t="shared" si="11"/>
        <v>1078.4477700000002</v>
      </c>
      <c r="S197" s="786">
        <v>0</v>
      </c>
      <c r="T197" s="900">
        <v>0</v>
      </c>
      <c r="U197" s="899">
        <v>0</v>
      </c>
      <c r="V197" s="900">
        <v>0</v>
      </c>
      <c r="W197" s="924" t="s">
        <v>1905</v>
      </c>
      <c r="X197" s="580" t="s">
        <v>46</v>
      </c>
      <c r="Y197" s="902" t="s">
        <v>925</v>
      </c>
      <c r="Z197" s="791" t="s">
        <v>829</v>
      </c>
      <c r="AA197" s="791" t="s">
        <v>829</v>
      </c>
    </row>
    <row r="198" spans="1:27" s="454" customFormat="1" ht="25.5" x14ac:dyDescent="0.25">
      <c r="A198" s="728" t="s">
        <v>1367</v>
      </c>
      <c r="B198" s="533" t="s">
        <v>1906</v>
      </c>
      <c r="C198" s="746">
        <v>2019</v>
      </c>
      <c r="D198" s="461" t="s">
        <v>1843</v>
      </c>
      <c r="E198" s="800" t="s">
        <v>76</v>
      </c>
      <c r="F198" s="730" t="s">
        <v>76</v>
      </c>
      <c r="G198" s="823" t="s">
        <v>1368</v>
      </c>
      <c r="H198" s="462">
        <v>576.11125000000004</v>
      </c>
      <c r="I198" s="462">
        <v>0</v>
      </c>
      <c r="J198" s="1439">
        <v>785.73800000000006</v>
      </c>
      <c r="K198" s="1174">
        <v>576.11125000000004</v>
      </c>
      <c r="L198" s="1527">
        <v>0</v>
      </c>
      <c r="M198" s="736">
        <v>0</v>
      </c>
      <c r="N198" s="734">
        <v>0</v>
      </c>
      <c r="O198" s="735">
        <v>0</v>
      </c>
      <c r="P198" s="1757">
        <f>785.738-576.11125</f>
        <v>209.62675000000002</v>
      </c>
      <c r="Q198" s="1796">
        <f>-1*P198</f>
        <v>-209.62675000000002</v>
      </c>
      <c r="R198" s="1721">
        <f t="shared" si="11"/>
        <v>0</v>
      </c>
      <c r="S198" s="733">
        <v>0</v>
      </c>
      <c r="T198" s="732">
        <v>0</v>
      </c>
      <c r="U198" s="938">
        <v>0</v>
      </c>
      <c r="V198" s="732">
        <v>0</v>
      </c>
      <c r="W198" s="746" t="s">
        <v>1907</v>
      </c>
      <c r="X198" s="461" t="s">
        <v>866</v>
      </c>
      <c r="Y198" s="939" t="s">
        <v>305</v>
      </c>
      <c r="Z198" s="798" t="s">
        <v>829</v>
      </c>
      <c r="AA198" s="798" t="s">
        <v>829</v>
      </c>
    </row>
    <row r="199" spans="1:27" s="464" customFormat="1" ht="25.5" x14ac:dyDescent="0.25">
      <c r="A199" s="728" t="s">
        <v>1369</v>
      </c>
      <c r="B199" s="533" t="s">
        <v>1532</v>
      </c>
      <c r="C199" s="746">
        <v>2019</v>
      </c>
      <c r="D199" s="461" t="s">
        <v>1843</v>
      </c>
      <c r="E199" s="800" t="s">
        <v>76</v>
      </c>
      <c r="F199" s="730" t="s">
        <v>76</v>
      </c>
      <c r="G199" s="823" t="s">
        <v>1370</v>
      </c>
      <c r="H199" s="462">
        <v>7092.4319999999998</v>
      </c>
      <c r="I199" s="462">
        <v>0</v>
      </c>
      <c r="J199" s="1439">
        <v>7200</v>
      </c>
      <c r="K199" s="1174">
        <v>7092.4319999999998</v>
      </c>
      <c r="L199" s="1527">
        <v>0</v>
      </c>
      <c r="M199" s="938">
        <v>0</v>
      </c>
      <c r="N199" s="946">
        <v>0</v>
      </c>
      <c r="O199" s="1538">
        <v>0</v>
      </c>
      <c r="P199" s="1795">
        <f>7200-7092.432</f>
        <v>107.56800000000021</v>
      </c>
      <c r="Q199" s="1796">
        <f>P199*-1</f>
        <v>-107.56800000000021</v>
      </c>
      <c r="R199" s="1721">
        <f t="shared" si="11"/>
        <v>0</v>
      </c>
      <c r="S199" s="733">
        <v>0</v>
      </c>
      <c r="T199" s="732">
        <v>0</v>
      </c>
      <c r="U199" s="938">
        <v>0</v>
      </c>
      <c r="V199" s="732">
        <v>0</v>
      </c>
      <c r="W199" s="746" t="s">
        <v>1842</v>
      </c>
      <c r="X199" s="461" t="s">
        <v>866</v>
      </c>
      <c r="Y199" s="939" t="s">
        <v>562</v>
      </c>
      <c r="Z199" s="798" t="s">
        <v>829</v>
      </c>
      <c r="AA199" s="798" t="s">
        <v>829</v>
      </c>
    </row>
    <row r="200" spans="1:27" ht="27.75" customHeight="1" x14ac:dyDescent="0.25">
      <c r="A200" s="64" t="s">
        <v>1371</v>
      </c>
      <c r="B200" s="87" t="s">
        <v>794</v>
      </c>
      <c r="C200" s="139">
        <v>2019</v>
      </c>
      <c r="D200" s="5" t="s">
        <v>1843</v>
      </c>
      <c r="E200" s="66" t="s">
        <v>76</v>
      </c>
      <c r="F200" s="65" t="s">
        <v>76</v>
      </c>
      <c r="G200" s="516" t="s">
        <v>1372</v>
      </c>
      <c r="H200" s="14">
        <v>6054.4479600000004</v>
      </c>
      <c r="I200" s="14">
        <v>0</v>
      </c>
      <c r="J200" s="677">
        <v>0</v>
      </c>
      <c r="K200" s="246">
        <v>0</v>
      </c>
      <c r="L200" s="1525">
        <v>0</v>
      </c>
      <c r="M200" s="509">
        <v>6054.4479600000004</v>
      </c>
      <c r="N200" s="611">
        <v>0</v>
      </c>
      <c r="O200" s="1539">
        <v>0</v>
      </c>
      <c r="P200" s="1794">
        <v>6054.4479600000004</v>
      </c>
      <c r="Q200" s="491">
        <v>0</v>
      </c>
      <c r="R200" s="1715">
        <f t="shared" si="11"/>
        <v>6054.4479600000004</v>
      </c>
      <c r="S200" s="27">
        <v>0</v>
      </c>
      <c r="T200" s="16">
        <v>0</v>
      </c>
      <c r="U200" s="509">
        <v>0</v>
      </c>
      <c r="V200" s="16">
        <v>0</v>
      </c>
      <c r="W200" s="139" t="s">
        <v>776</v>
      </c>
      <c r="X200" s="5" t="s">
        <v>46</v>
      </c>
      <c r="Y200" s="308" t="s">
        <v>722</v>
      </c>
      <c r="Z200" s="104" t="s">
        <v>829</v>
      </c>
      <c r="AA200" s="104" t="s">
        <v>828</v>
      </c>
    </row>
    <row r="201" spans="1:27" ht="30" customHeight="1" x14ac:dyDescent="0.25">
      <c r="A201" s="64" t="s">
        <v>1373</v>
      </c>
      <c r="B201" s="87" t="s">
        <v>794</v>
      </c>
      <c r="C201" s="139">
        <v>2019</v>
      </c>
      <c r="D201" s="5" t="s">
        <v>1843</v>
      </c>
      <c r="E201" s="66" t="s">
        <v>76</v>
      </c>
      <c r="F201" s="65" t="s">
        <v>76</v>
      </c>
      <c r="G201" s="516" t="s">
        <v>1374</v>
      </c>
      <c r="H201" s="14">
        <v>3541.7646199999999</v>
      </c>
      <c r="I201" s="14">
        <v>0</v>
      </c>
      <c r="J201" s="677">
        <v>0</v>
      </c>
      <c r="K201" s="246">
        <v>0</v>
      </c>
      <c r="L201" s="1525">
        <v>0</v>
      </c>
      <c r="M201" s="509">
        <v>3541.7646199999999</v>
      </c>
      <c r="N201" s="611">
        <v>0</v>
      </c>
      <c r="O201" s="1539">
        <v>0</v>
      </c>
      <c r="P201" s="1794">
        <v>3541.7646199999999</v>
      </c>
      <c r="Q201" s="491">
        <v>0</v>
      </c>
      <c r="R201" s="1715">
        <f t="shared" si="11"/>
        <v>3541.7646199999999</v>
      </c>
      <c r="S201" s="27">
        <v>0</v>
      </c>
      <c r="T201" s="16">
        <v>0</v>
      </c>
      <c r="U201" s="509">
        <v>0</v>
      </c>
      <c r="V201" s="16">
        <v>0</v>
      </c>
      <c r="W201" s="139" t="s">
        <v>776</v>
      </c>
      <c r="X201" s="5" t="s">
        <v>46</v>
      </c>
      <c r="Y201" s="308" t="s">
        <v>722</v>
      </c>
      <c r="Z201" s="104" t="s">
        <v>829</v>
      </c>
      <c r="AA201" s="104" t="s">
        <v>828</v>
      </c>
    </row>
    <row r="202" spans="1:27" ht="29.25" customHeight="1" thickBot="1" x14ac:dyDescent="0.3">
      <c r="A202" s="132" t="s">
        <v>1375</v>
      </c>
      <c r="B202" s="135" t="s">
        <v>794</v>
      </c>
      <c r="C202" s="371">
        <v>2019</v>
      </c>
      <c r="D202" s="133" t="s">
        <v>1843</v>
      </c>
      <c r="E202" s="544" t="s">
        <v>76</v>
      </c>
      <c r="F202" s="88" t="s">
        <v>76</v>
      </c>
      <c r="G202" s="947" t="s">
        <v>1376</v>
      </c>
      <c r="H202" s="46">
        <v>2033.80612</v>
      </c>
      <c r="I202" s="46">
        <v>0</v>
      </c>
      <c r="J202" s="678">
        <v>0</v>
      </c>
      <c r="K202" s="250">
        <v>0</v>
      </c>
      <c r="L202" s="1540">
        <v>0</v>
      </c>
      <c r="M202" s="417">
        <v>2033.80612</v>
      </c>
      <c r="N202" s="251">
        <v>0</v>
      </c>
      <c r="O202" s="47">
        <v>0</v>
      </c>
      <c r="P202" s="1746">
        <v>2033.80612</v>
      </c>
      <c r="Q202" s="526">
        <v>0</v>
      </c>
      <c r="R202" s="1732">
        <f t="shared" si="11"/>
        <v>2033.80612</v>
      </c>
      <c r="S202" s="98">
        <v>0</v>
      </c>
      <c r="T202" s="49">
        <v>0</v>
      </c>
      <c r="U202" s="948">
        <v>0</v>
      </c>
      <c r="V202" s="49">
        <v>0</v>
      </c>
      <c r="W202" s="371" t="s">
        <v>776</v>
      </c>
      <c r="X202" s="133" t="s">
        <v>46</v>
      </c>
      <c r="Y202" s="527" t="s">
        <v>722</v>
      </c>
      <c r="Z202" s="137" t="s">
        <v>829</v>
      </c>
      <c r="AA202" s="137" t="s">
        <v>828</v>
      </c>
    </row>
    <row r="203" spans="1:27" ht="26.25" customHeight="1" x14ac:dyDescent="0.25">
      <c r="A203" s="708" t="s">
        <v>1665</v>
      </c>
      <c r="B203" s="1083" t="s">
        <v>794</v>
      </c>
      <c r="C203" s="1216">
        <v>2020</v>
      </c>
      <c r="D203" s="436" t="s">
        <v>776</v>
      </c>
      <c r="E203" s="1217" t="s">
        <v>80</v>
      </c>
      <c r="F203" s="1217" t="s">
        <v>80</v>
      </c>
      <c r="G203" s="1408" t="s">
        <v>1666</v>
      </c>
      <c r="H203" s="507">
        <v>700</v>
      </c>
      <c r="I203" s="507">
        <v>0</v>
      </c>
      <c r="J203" s="507">
        <v>0</v>
      </c>
      <c r="K203" s="457">
        <v>0</v>
      </c>
      <c r="L203" s="1541">
        <v>700</v>
      </c>
      <c r="M203" s="1219">
        <v>0</v>
      </c>
      <c r="N203" s="1219">
        <v>0</v>
      </c>
      <c r="O203" s="1434">
        <v>0</v>
      </c>
      <c r="P203" s="1802">
        <v>0</v>
      </c>
      <c r="Q203" s="1487">
        <v>700</v>
      </c>
      <c r="R203" s="1487">
        <f t="shared" si="11"/>
        <v>700</v>
      </c>
      <c r="S203" s="1218">
        <v>0</v>
      </c>
      <c r="T203" s="1220">
        <v>0</v>
      </c>
      <c r="U203" s="1433">
        <v>0</v>
      </c>
      <c r="V203" s="1434">
        <v>0</v>
      </c>
      <c r="W203" s="426" t="s">
        <v>776</v>
      </c>
      <c r="X203" s="1221" t="s">
        <v>20</v>
      </c>
      <c r="Y203" s="1509" t="s">
        <v>859</v>
      </c>
      <c r="Z203" s="1398" t="s">
        <v>828</v>
      </c>
      <c r="AA203" s="1398" t="s">
        <v>828</v>
      </c>
    </row>
    <row r="204" spans="1:27" ht="26.25" customHeight="1" x14ac:dyDescent="0.25">
      <c r="A204" s="1222" t="s">
        <v>1667</v>
      </c>
      <c r="B204" s="1070" t="s">
        <v>794</v>
      </c>
      <c r="C204" s="574">
        <v>2020</v>
      </c>
      <c r="D204" s="431" t="s">
        <v>776</v>
      </c>
      <c r="E204" s="1223" t="s">
        <v>76</v>
      </c>
      <c r="F204" s="1223" t="s">
        <v>76</v>
      </c>
      <c r="G204" s="1224" t="s">
        <v>1668</v>
      </c>
      <c r="H204" s="458">
        <v>200000</v>
      </c>
      <c r="I204" s="458">
        <v>0</v>
      </c>
      <c r="J204" s="458">
        <v>0</v>
      </c>
      <c r="K204" s="457">
        <v>0</v>
      </c>
      <c r="L204" s="1542">
        <v>0</v>
      </c>
      <c r="M204" s="711">
        <v>0</v>
      </c>
      <c r="N204" s="711">
        <v>0</v>
      </c>
      <c r="O204" s="1228">
        <v>20000</v>
      </c>
      <c r="P204" s="1762">
        <v>0</v>
      </c>
      <c r="Q204" s="1620">
        <v>20000</v>
      </c>
      <c r="R204" s="1620">
        <f t="shared" si="11"/>
        <v>20000</v>
      </c>
      <c r="S204" s="1225">
        <v>0</v>
      </c>
      <c r="T204" s="1226">
        <v>0</v>
      </c>
      <c r="U204" s="1227">
        <v>50000</v>
      </c>
      <c r="V204" s="1228">
        <v>130000</v>
      </c>
      <c r="W204" s="427" t="s">
        <v>776</v>
      </c>
      <c r="X204" s="573" t="s">
        <v>20</v>
      </c>
      <c r="Y204" s="1510" t="s">
        <v>1171</v>
      </c>
      <c r="Z204" s="1518" t="s">
        <v>828</v>
      </c>
      <c r="AA204" s="1518" t="s">
        <v>828</v>
      </c>
    </row>
    <row r="205" spans="1:27" ht="26.25" customHeight="1" x14ac:dyDescent="0.25">
      <c r="A205" s="1222" t="s">
        <v>1669</v>
      </c>
      <c r="B205" s="1070" t="s">
        <v>794</v>
      </c>
      <c r="C205" s="574">
        <v>2020</v>
      </c>
      <c r="D205" s="431" t="s">
        <v>776</v>
      </c>
      <c r="E205" s="1229" t="s">
        <v>80</v>
      </c>
      <c r="F205" s="1229" t="s">
        <v>80</v>
      </c>
      <c r="G205" s="1230" t="s">
        <v>1670</v>
      </c>
      <c r="H205" s="508">
        <v>50</v>
      </c>
      <c r="I205" s="508">
        <v>0</v>
      </c>
      <c r="J205" s="458">
        <v>0</v>
      </c>
      <c r="K205" s="457">
        <v>0</v>
      </c>
      <c r="L205" s="1543">
        <v>50</v>
      </c>
      <c r="M205" s="703">
        <v>0</v>
      </c>
      <c r="N205" s="704">
        <v>0</v>
      </c>
      <c r="O205" s="705">
        <v>0</v>
      </c>
      <c r="P205" s="1760">
        <v>0</v>
      </c>
      <c r="Q205" s="1725">
        <v>50</v>
      </c>
      <c r="R205" s="1733">
        <f t="shared" si="11"/>
        <v>50</v>
      </c>
      <c r="S205" s="1225">
        <v>0</v>
      </c>
      <c r="T205" s="1226">
        <v>0</v>
      </c>
      <c r="U205" s="1231">
        <v>0</v>
      </c>
      <c r="V205" s="1232">
        <v>0</v>
      </c>
      <c r="W205" s="1233" t="s">
        <v>776</v>
      </c>
      <c r="X205" s="1234" t="s">
        <v>20</v>
      </c>
      <c r="Y205" s="1510" t="s">
        <v>1171</v>
      </c>
      <c r="Z205" s="1518" t="s">
        <v>828</v>
      </c>
      <c r="AA205" s="1518" t="s">
        <v>828</v>
      </c>
    </row>
    <row r="206" spans="1:27" ht="26.25" customHeight="1" x14ac:dyDescent="0.25">
      <c r="A206" s="1222" t="s">
        <v>1671</v>
      </c>
      <c r="B206" s="1070" t="s">
        <v>794</v>
      </c>
      <c r="C206" s="574">
        <v>2020</v>
      </c>
      <c r="D206" s="431" t="s">
        <v>776</v>
      </c>
      <c r="E206" s="1223" t="s">
        <v>76</v>
      </c>
      <c r="F206" s="1223" t="s">
        <v>76</v>
      </c>
      <c r="G206" s="1224" t="s">
        <v>1672</v>
      </c>
      <c r="H206" s="458">
        <v>63000</v>
      </c>
      <c r="I206" s="458">
        <v>0</v>
      </c>
      <c r="J206" s="458">
        <v>0</v>
      </c>
      <c r="K206" s="457">
        <v>0</v>
      </c>
      <c r="L206" s="1542">
        <v>0</v>
      </c>
      <c r="M206" s="711">
        <v>0</v>
      </c>
      <c r="N206" s="711">
        <v>3000</v>
      </c>
      <c r="O206" s="1228">
        <v>3000</v>
      </c>
      <c r="P206" s="1762">
        <v>0</v>
      </c>
      <c r="Q206" s="1620">
        <v>6000</v>
      </c>
      <c r="R206" s="1620">
        <f t="shared" si="11"/>
        <v>6000</v>
      </c>
      <c r="S206" s="1225">
        <v>0</v>
      </c>
      <c r="T206" s="1226">
        <v>0</v>
      </c>
      <c r="U206" s="1227">
        <v>15700</v>
      </c>
      <c r="V206" s="1228">
        <v>41300</v>
      </c>
      <c r="W206" s="427" t="s">
        <v>776</v>
      </c>
      <c r="X206" s="1234" t="s">
        <v>20</v>
      </c>
      <c r="Y206" s="1510" t="s">
        <v>1171</v>
      </c>
      <c r="Z206" s="1518" t="s">
        <v>828</v>
      </c>
      <c r="AA206" s="1518" t="s">
        <v>828</v>
      </c>
    </row>
    <row r="207" spans="1:27" ht="26.25" customHeight="1" x14ac:dyDescent="0.25">
      <c r="A207" s="1222" t="s">
        <v>1673</v>
      </c>
      <c r="B207" s="1070" t="s">
        <v>794</v>
      </c>
      <c r="C207" s="574">
        <v>2020</v>
      </c>
      <c r="D207" s="431" t="s">
        <v>776</v>
      </c>
      <c r="E207" s="1223" t="s">
        <v>76</v>
      </c>
      <c r="F207" s="1223" t="s">
        <v>76</v>
      </c>
      <c r="G207" s="1224" t="s">
        <v>1674</v>
      </c>
      <c r="H207" s="458">
        <v>110000</v>
      </c>
      <c r="I207" s="458">
        <v>0</v>
      </c>
      <c r="J207" s="458">
        <v>0</v>
      </c>
      <c r="K207" s="457">
        <v>0</v>
      </c>
      <c r="L207" s="1542">
        <v>0</v>
      </c>
      <c r="M207" s="711">
        <v>0</v>
      </c>
      <c r="N207" s="711">
        <v>0</v>
      </c>
      <c r="O207" s="1228">
        <v>10000</v>
      </c>
      <c r="P207" s="1762">
        <v>0</v>
      </c>
      <c r="Q207" s="1620">
        <v>10000</v>
      </c>
      <c r="R207" s="1620">
        <f t="shared" si="11"/>
        <v>10000</v>
      </c>
      <c r="S207" s="1225">
        <v>0</v>
      </c>
      <c r="T207" s="1226">
        <v>0</v>
      </c>
      <c r="U207" s="1227">
        <v>20000</v>
      </c>
      <c r="V207" s="1235">
        <v>80000</v>
      </c>
      <c r="W207" s="427" t="s">
        <v>776</v>
      </c>
      <c r="X207" s="1234" t="s">
        <v>20</v>
      </c>
      <c r="Y207" s="1510" t="s">
        <v>1171</v>
      </c>
      <c r="Z207" s="1518" t="s">
        <v>828</v>
      </c>
      <c r="AA207" s="1518" t="s">
        <v>828</v>
      </c>
    </row>
    <row r="208" spans="1:27" ht="26.25" customHeight="1" x14ac:dyDescent="0.25">
      <c r="A208" s="1222" t="s">
        <v>1675</v>
      </c>
      <c r="B208" s="1070" t="s">
        <v>794</v>
      </c>
      <c r="C208" s="574">
        <v>2020</v>
      </c>
      <c r="D208" s="431" t="s">
        <v>776</v>
      </c>
      <c r="E208" s="1223" t="s">
        <v>76</v>
      </c>
      <c r="F208" s="1223" t="s">
        <v>76</v>
      </c>
      <c r="G208" s="1224" t="s">
        <v>1676</v>
      </c>
      <c r="H208" s="458">
        <v>54000</v>
      </c>
      <c r="I208" s="458">
        <v>0</v>
      </c>
      <c r="J208" s="458">
        <v>0</v>
      </c>
      <c r="K208" s="457">
        <v>0</v>
      </c>
      <c r="L208" s="1542">
        <v>0</v>
      </c>
      <c r="M208" s="711">
        <v>3425</v>
      </c>
      <c r="N208" s="711">
        <v>3425</v>
      </c>
      <c r="O208" s="1228">
        <v>6850</v>
      </c>
      <c r="P208" s="1762">
        <v>0</v>
      </c>
      <c r="Q208" s="1620">
        <v>13700</v>
      </c>
      <c r="R208" s="1620">
        <f t="shared" si="11"/>
        <v>13700</v>
      </c>
      <c r="S208" s="1225">
        <v>0</v>
      </c>
      <c r="T208" s="1226">
        <v>0</v>
      </c>
      <c r="U208" s="1227">
        <v>13750</v>
      </c>
      <c r="V208" s="1235">
        <v>26550</v>
      </c>
      <c r="W208" s="427" t="s">
        <v>776</v>
      </c>
      <c r="X208" s="1234" t="s">
        <v>20</v>
      </c>
      <c r="Y208" s="1510" t="s">
        <v>854</v>
      </c>
      <c r="Z208" s="1518" t="s">
        <v>828</v>
      </c>
      <c r="AA208" s="1518" t="s">
        <v>828</v>
      </c>
    </row>
    <row r="209" spans="1:27" ht="26.25" customHeight="1" x14ac:dyDescent="0.25">
      <c r="A209" s="1222" t="s">
        <v>1677</v>
      </c>
      <c r="B209" s="1070" t="s">
        <v>794</v>
      </c>
      <c r="C209" s="574">
        <v>2020</v>
      </c>
      <c r="D209" s="431" t="s">
        <v>776</v>
      </c>
      <c r="E209" s="1223" t="s">
        <v>76</v>
      </c>
      <c r="F209" s="1223" t="s">
        <v>76</v>
      </c>
      <c r="G209" s="1224" t="s">
        <v>1678</v>
      </c>
      <c r="H209" s="458">
        <v>22000</v>
      </c>
      <c r="I209" s="458">
        <v>0</v>
      </c>
      <c r="J209" s="458">
        <v>0</v>
      </c>
      <c r="K209" s="457">
        <v>0</v>
      </c>
      <c r="L209" s="1542">
        <v>22000</v>
      </c>
      <c r="M209" s="711">
        <v>0</v>
      </c>
      <c r="N209" s="711">
        <v>0</v>
      </c>
      <c r="O209" s="1228">
        <v>0</v>
      </c>
      <c r="P209" s="1762">
        <v>0</v>
      </c>
      <c r="Q209" s="1620">
        <v>22000</v>
      </c>
      <c r="R209" s="1620">
        <f t="shared" si="11"/>
        <v>22000</v>
      </c>
      <c r="S209" s="1225">
        <v>0</v>
      </c>
      <c r="T209" s="1226">
        <v>0</v>
      </c>
      <c r="U209" s="1227"/>
      <c r="V209" s="1235">
        <v>0</v>
      </c>
      <c r="W209" s="427" t="s">
        <v>776</v>
      </c>
      <c r="X209" s="1234" t="s">
        <v>46</v>
      </c>
      <c r="Y209" s="1510" t="s">
        <v>925</v>
      </c>
      <c r="Z209" s="1518" t="s">
        <v>829</v>
      </c>
      <c r="AA209" s="1518" t="s">
        <v>828</v>
      </c>
    </row>
    <row r="210" spans="1:27" ht="26.25" customHeight="1" x14ac:dyDescent="0.25">
      <c r="A210" s="1222" t="s">
        <v>1679</v>
      </c>
      <c r="B210" s="1070" t="s">
        <v>794</v>
      </c>
      <c r="C210" s="574">
        <v>2020</v>
      </c>
      <c r="D210" s="431" t="s">
        <v>776</v>
      </c>
      <c r="E210" s="1223" t="s">
        <v>76</v>
      </c>
      <c r="F210" s="1223" t="s">
        <v>76</v>
      </c>
      <c r="G210" s="1224" t="s">
        <v>1680</v>
      </c>
      <c r="H210" s="458">
        <v>1819</v>
      </c>
      <c r="I210" s="458">
        <v>0</v>
      </c>
      <c r="J210" s="458">
        <v>0</v>
      </c>
      <c r="K210" s="457">
        <v>0</v>
      </c>
      <c r="L210" s="1542">
        <v>0</v>
      </c>
      <c r="M210" s="711">
        <v>0</v>
      </c>
      <c r="N210" s="711">
        <v>0</v>
      </c>
      <c r="O210" s="1228">
        <v>1819</v>
      </c>
      <c r="P210" s="1762">
        <v>0</v>
      </c>
      <c r="Q210" s="1620">
        <v>1819</v>
      </c>
      <c r="R210" s="1620">
        <f t="shared" si="11"/>
        <v>1819</v>
      </c>
      <c r="S210" s="1225">
        <v>0</v>
      </c>
      <c r="T210" s="1226">
        <v>0</v>
      </c>
      <c r="U210" s="1227"/>
      <c r="V210" s="1235">
        <v>0</v>
      </c>
      <c r="W210" s="427" t="s">
        <v>776</v>
      </c>
      <c r="X210" s="1234" t="s">
        <v>20</v>
      </c>
      <c r="Y210" s="1510" t="s">
        <v>1171</v>
      </c>
      <c r="Z210" s="1518" t="s">
        <v>828</v>
      </c>
      <c r="AA210" s="1518" t="s">
        <v>828</v>
      </c>
    </row>
    <row r="211" spans="1:27" ht="26.25" customHeight="1" x14ac:dyDescent="0.25">
      <c r="A211" s="1222" t="s">
        <v>1681</v>
      </c>
      <c r="B211" s="1070" t="s">
        <v>794</v>
      </c>
      <c r="C211" s="574">
        <v>2020</v>
      </c>
      <c r="D211" s="431" t="s">
        <v>776</v>
      </c>
      <c r="E211" s="1223" t="s">
        <v>76</v>
      </c>
      <c r="F211" s="1223" t="s">
        <v>76</v>
      </c>
      <c r="G211" s="1224" t="s">
        <v>1682</v>
      </c>
      <c r="H211" s="458">
        <v>54045</v>
      </c>
      <c r="I211" s="458">
        <v>0</v>
      </c>
      <c r="J211" s="458">
        <v>0</v>
      </c>
      <c r="K211" s="457">
        <v>0</v>
      </c>
      <c r="L211" s="1542">
        <v>0</v>
      </c>
      <c r="M211" s="711">
        <v>0</v>
      </c>
      <c r="N211" s="711">
        <v>0</v>
      </c>
      <c r="O211" s="1228">
        <v>24045</v>
      </c>
      <c r="P211" s="1762">
        <v>0</v>
      </c>
      <c r="Q211" s="1620">
        <v>24045</v>
      </c>
      <c r="R211" s="1620">
        <f t="shared" si="11"/>
        <v>24045</v>
      </c>
      <c r="S211" s="1225">
        <v>0</v>
      </c>
      <c r="T211" s="1226">
        <v>0</v>
      </c>
      <c r="U211" s="1227">
        <v>30000</v>
      </c>
      <c r="V211" s="1235">
        <v>0</v>
      </c>
      <c r="W211" s="427" t="s">
        <v>776</v>
      </c>
      <c r="X211" s="573" t="s">
        <v>20</v>
      </c>
      <c r="Y211" s="1510" t="s">
        <v>1171</v>
      </c>
      <c r="Z211" s="1518" t="s">
        <v>828</v>
      </c>
      <c r="AA211" s="1518" t="s">
        <v>828</v>
      </c>
    </row>
    <row r="212" spans="1:27" ht="26.25" customHeight="1" x14ac:dyDescent="0.25">
      <c r="A212" s="1222" t="s">
        <v>1683</v>
      </c>
      <c r="B212" s="1070" t="s">
        <v>794</v>
      </c>
      <c r="C212" s="574">
        <v>2020</v>
      </c>
      <c r="D212" s="431" t="s">
        <v>776</v>
      </c>
      <c r="E212" s="1223" t="s">
        <v>76</v>
      </c>
      <c r="F212" s="1223" t="s">
        <v>76</v>
      </c>
      <c r="G212" s="1224" t="s">
        <v>1684</v>
      </c>
      <c r="H212" s="458">
        <v>40985</v>
      </c>
      <c r="I212" s="458">
        <v>0</v>
      </c>
      <c r="J212" s="458">
        <v>0</v>
      </c>
      <c r="K212" s="457">
        <v>0</v>
      </c>
      <c r="L212" s="1542">
        <v>0</v>
      </c>
      <c r="M212" s="711">
        <v>0</v>
      </c>
      <c r="N212" s="711">
        <v>0</v>
      </c>
      <c r="O212" s="1228">
        <v>20000</v>
      </c>
      <c r="P212" s="1762">
        <v>0</v>
      </c>
      <c r="Q212" s="1620">
        <v>20000</v>
      </c>
      <c r="R212" s="1620">
        <f t="shared" si="11"/>
        <v>20000</v>
      </c>
      <c r="S212" s="1225">
        <v>0</v>
      </c>
      <c r="T212" s="1226">
        <v>0</v>
      </c>
      <c r="U212" s="1227">
        <v>20985</v>
      </c>
      <c r="V212" s="1235">
        <v>0</v>
      </c>
      <c r="W212" s="427" t="s">
        <v>776</v>
      </c>
      <c r="X212" s="573" t="s">
        <v>20</v>
      </c>
      <c r="Y212" s="1510" t="s">
        <v>1171</v>
      </c>
      <c r="Z212" s="1518" t="s">
        <v>828</v>
      </c>
      <c r="AA212" s="1518" t="s">
        <v>828</v>
      </c>
    </row>
    <row r="213" spans="1:27" ht="26.25" customHeight="1" x14ac:dyDescent="0.25">
      <c r="A213" s="1222" t="s">
        <v>1685</v>
      </c>
      <c r="B213" s="1070" t="s">
        <v>794</v>
      </c>
      <c r="C213" s="574">
        <v>2020</v>
      </c>
      <c r="D213" s="431" t="s">
        <v>776</v>
      </c>
      <c r="E213" s="1223" t="s">
        <v>76</v>
      </c>
      <c r="F213" s="1223" t="s">
        <v>76</v>
      </c>
      <c r="G213" s="1224" t="s">
        <v>1686</v>
      </c>
      <c r="H213" s="458">
        <v>12330</v>
      </c>
      <c r="I213" s="458">
        <v>0</v>
      </c>
      <c r="J213" s="458">
        <v>0</v>
      </c>
      <c r="K213" s="457">
        <v>0</v>
      </c>
      <c r="L213" s="1542">
        <v>0</v>
      </c>
      <c r="M213" s="711">
        <v>0</v>
      </c>
      <c r="N213" s="711">
        <v>0</v>
      </c>
      <c r="O213" s="1228">
        <v>8330</v>
      </c>
      <c r="P213" s="1762">
        <v>0</v>
      </c>
      <c r="Q213" s="1620">
        <v>8330</v>
      </c>
      <c r="R213" s="1620">
        <f t="shared" si="11"/>
        <v>8330</v>
      </c>
      <c r="S213" s="1225">
        <v>0</v>
      </c>
      <c r="T213" s="1226">
        <v>0</v>
      </c>
      <c r="U213" s="1227">
        <v>4000</v>
      </c>
      <c r="V213" s="1235">
        <v>0</v>
      </c>
      <c r="W213" s="427" t="s">
        <v>776</v>
      </c>
      <c r="X213" s="573" t="s">
        <v>20</v>
      </c>
      <c r="Y213" s="1510" t="s">
        <v>1171</v>
      </c>
      <c r="Z213" s="1518" t="s">
        <v>828</v>
      </c>
      <c r="AA213" s="1518" t="s">
        <v>828</v>
      </c>
    </row>
    <row r="214" spans="1:27" ht="26.25" customHeight="1" x14ac:dyDescent="0.25">
      <c r="A214" s="1222" t="s">
        <v>1687</v>
      </c>
      <c r="B214" s="1070" t="s">
        <v>794</v>
      </c>
      <c r="C214" s="574">
        <v>2020</v>
      </c>
      <c r="D214" s="431" t="s">
        <v>776</v>
      </c>
      <c r="E214" s="1223" t="s">
        <v>76</v>
      </c>
      <c r="F214" s="1223" t="s">
        <v>76</v>
      </c>
      <c r="G214" s="1224" t="s">
        <v>1688</v>
      </c>
      <c r="H214" s="458">
        <v>36300</v>
      </c>
      <c r="I214" s="458">
        <v>0</v>
      </c>
      <c r="J214" s="458">
        <v>0</v>
      </c>
      <c r="K214" s="457">
        <v>0</v>
      </c>
      <c r="L214" s="1542">
        <v>0</v>
      </c>
      <c r="M214" s="711">
        <v>0</v>
      </c>
      <c r="N214" s="711">
        <v>0</v>
      </c>
      <c r="O214" s="1228">
        <v>6000</v>
      </c>
      <c r="P214" s="1762">
        <v>0</v>
      </c>
      <c r="Q214" s="1620">
        <v>6000</v>
      </c>
      <c r="R214" s="1620">
        <f t="shared" si="11"/>
        <v>6000</v>
      </c>
      <c r="S214" s="1225">
        <v>0</v>
      </c>
      <c r="T214" s="1226">
        <v>0</v>
      </c>
      <c r="U214" s="1227">
        <v>30300</v>
      </c>
      <c r="V214" s="1235">
        <v>0</v>
      </c>
      <c r="W214" s="427" t="s">
        <v>776</v>
      </c>
      <c r="X214" s="573" t="s">
        <v>20</v>
      </c>
      <c r="Y214" s="1510" t="s">
        <v>1171</v>
      </c>
      <c r="Z214" s="1518" t="s">
        <v>828</v>
      </c>
      <c r="AA214" s="1518" t="s">
        <v>828</v>
      </c>
    </row>
    <row r="215" spans="1:27" ht="26.25" customHeight="1" x14ac:dyDescent="0.25">
      <c r="A215" s="1222" t="s">
        <v>1689</v>
      </c>
      <c r="B215" s="1070" t="s">
        <v>794</v>
      </c>
      <c r="C215" s="574">
        <v>2020</v>
      </c>
      <c r="D215" s="431" t="s">
        <v>776</v>
      </c>
      <c r="E215" s="1223" t="s">
        <v>76</v>
      </c>
      <c r="F215" s="1223" t="s">
        <v>76</v>
      </c>
      <c r="G215" s="1224" t="s">
        <v>1690</v>
      </c>
      <c r="H215" s="458">
        <v>36300</v>
      </c>
      <c r="I215" s="458">
        <v>0</v>
      </c>
      <c r="J215" s="458">
        <v>0</v>
      </c>
      <c r="K215" s="457">
        <v>0</v>
      </c>
      <c r="L215" s="1542">
        <v>0</v>
      </c>
      <c r="M215" s="711">
        <v>0</v>
      </c>
      <c r="N215" s="711">
        <v>0</v>
      </c>
      <c r="O215" s="1228">
        <v>6000</v>
      </c>
      <c r="P215" s="1762">
        <v>0</v>
      </c>
      <c r="Q215" s="1620">
        <v>6000</v>
      </c>
      <c r="R215" s="1620">
        <f t="shared" si="11"/>
        <v>6000</v>
      </c>
      <c r="S215" s="1225">
        <v>0</v>
      </c>
      <c r="T215" s="1226">
        <v>0</v>
      </c>
      <c r="U215" s="1227">
        <v>30300</v>
      </c>
      <c r="V215" s="1235">
        <v>0</v>
      </c>
      <c r="W215" s="427" t="s">
        <v>776</v>
      </c>
      <c r="X215" s="573" t="s">
        <v>20</v>
      </c>
      <c r="Y215" s="1510" t="s">
        <v>1171</v>
      </c>
      <c r="Z215" s="1518" t="s">
        <v>828</v>
      </c>
      <c r="AA215" s="1518" t="s">
        <v>828</v>
      </c>
    </row>
    <row r="216" spans="1:27" ht="26.25" customHeight="1" x14ac:dyDescent="0.25">
      <c r="A216" s="1222" t="s">
        <v>1691</v>
      </c>
      <c r="B216" s="1070" t="s">
        <v>794</v>
      </c>
      <c r="C216" s="574">
        <v>2020</v>
      </c>
      <c r="D216" s="431" t="s">
        <v>776</v>
      </c>
      <c r="E216" s="1223" t="s">
        <v>76</v>
      </c>
      <c r="F216" s="1223" t="s">
        <v>76</v>
      </c>
      <c r="G216" s="1224" t="s">
        <v>1692</v>
      </c>
      <c r="H216" s="458">
        <v>30250</v>
      </c>
      <c r="I216" s="458">
        <v>0</v>
      </c>
      <c r="J216" s="458">
        <v>0</v>
      </c>
      <c r="K216" s="457">
        <v>0</v>
      </c>
      <c r="L216" s="1542">
        <v>0</v>
      </c>
      <c r="M216" s="711">
        <v>0</v>
      </c>
      <c r="N216" s="711">
        <v>0</v>
      </c>
      <c r="O216" s="1228">
        <v>6000</v>
      </c>
      <c r="P216" s="1762">
        <v>0</v>
      </c>
      <c r="Q216" s="1620">
        <v>6000</v>
      </c>
      <c r="R216" s="1620">
        <f t="shared" si="11"/>
        <v>6000</v>
      </c>
      <c r="S216" s="1225">
        <v>0</v>
      </c>
      <c r="T216" s="1226">
        <v>0</v>
      </c>
      <c r="U216" s="1227">
        <v>24250</v>
      </c>
      <c r="V216" s="1235">
        <v>0</v>
      </c>
      <c r="W216" s="427" t="s">
        <v>776</v>
      </c>
      <c r="X216" s="573" t="s">
        <v>20</v>
      </c>
      <c r="Y216" s="1510" t="s">
        <v>1171</v>
      </c>
      <c r="Z216" s="1518" t="s">
        <v>828</v>
      </c>
      <c r="AA216" s="1518" t="s">
        <v>828</v>
      </c>
    </row>
    <row r="217" spans="1:27" ht="26.25" customHeight="1" x14ac:dyDescent="0.25">
      <c r="A217" s="1222" t="s">
        <v>1693</v>
      </c>
      <c r="B217" s="1070" t="s">
        <v>794</v>
      </c>
      <c r="C217" s="574">
        <v>2020</v>
      </c>
      <c r="D217" s="431" t="s">
        <v>776</v>
      </c>
      <c r="E217" s="1223" t="s">
        <v>76</v>
      </c>
      <c r="F217" s="1223" t="s">
        <v>76</v>
      </c>
      <c r="G217" s="1224" t="s">
        <v>1694</v>
      </c>
      <c r="H217" s="458">
        <v>5000</v>
      </c>
      <c r="I217" s="458">
        <v>0</v>
      </c>
      <c r="J217" s="458">
        <v>0</v>
      </c>
      <c r="K217" s="457">
        <v>0</v>
      </c>
      <c r="L217" s="1542">
        <v>0</v>
      </c>
      <c r="M217" s="711">
        <v>0</v>
      </c>
      <c r="N217" s="711">
        <v>0</v>
      </c>
      <c r="O217" s="1228">
        <v>4000</v>
      </c>
      <c r="P217" s="1762">
        <v>0</v>
      </c>
      <c r="Q217" s="1620">
        <v>4000</v>
      </c>
      <c r="R217" s="1620">
        <f t="shared" si="11"/>
        <v>4000</v>
      </c>
      <c r="S217" s="1225">
        <v>0</v>
      </c>
      <c r="T217" s="1226">
        <v>0</v>
      </c>
      <c r="U217" s="1227">
        <v>1000</v>
      </c>
      <c r="V217" s="1235">
        <v>0</v>
      </c>
      <c r="W217" s="427" t="s">
        <v>776</v>
      </c>
      <c r="X217" s="573" t="s">
        <v>20</v>
      </c>
      <c r="Y217" s="1510" t="s">
        <v>1171</v>
      </c>
      <c r="Z217" s="1518" t="s">
        <v>828</v>
      </c>
      <c r="AA217" s="1518" t="s">
        <v>828</v>
      </c>
    </row>
    <row r="218" spans="1:27" ht="26.25" customHeight="1" x14ac:dyDescent="0.25">
      <c r="A218" s="1222" t="s">
        <v>1695</v>
      </c>
      <c r="B218" s="1070" t="s">
        <v>794</v>
      </c>
      <c r="C218" s="574">
        <v>2020</v>
      </c>
      <c r="D218" s="431" t="s">
        <v>776</v>
      </c>
      <c r="E218" s="1223" t="s">
        <v>76</v>
      </c>
      <c r="F218" s="1223" t="s">
        <v>76</v>
      </c>
      <c r="G218" s="1224" t="s">
        <v>1696</v>
      </c>
      <c r="H218" s="458">
        <v>25913</v>
      </c>
      <c r="I218" s="458">
        <v>0</v>
      </c>
      <c r="J218" s="458">
        <v>0</v>
      </c>
      <c r="K218" s="457">
        <v>0</v>
      </c>
      <c r="L218" s="1542">
        <v>0</v>
      </c>
      <c r="M218" s="711">
        <v>0</v>
      </c>
      <c r="N218" s="711">
        <v>0</v>
      </c>
      <c r="O218" s="1228">
        <v>20913</v>
      </c>
      <c r="P218" s="1762">
        <v>0</v>
      </c>
      <c r="Q218" s="1620">
        <v>20913</v>
      </c>
      <c r="R218" s="1620">
        <f t="shared" si="11"/>
        <v>20913</v>
      </c>
      <c r="S218" s="1225">
        <v>0</v>
      </c>
      <c r="T218" s="1226">
        <v>0</v>
      </c>
      <c r="U218" s="1227">
        <v>5000</v>
      </c>
      <c r="V218" s="1228">
        <v>0</v>
      </c>
      <c r="W218" s="427" t="s">
        <v>776</v>
      </c>
      <c r="X218" s="573" t="s">
        <v>20</v>
      </c>
      <c r="Y218" s="1510" t="s">
        <v>1171</v>
      </c>
      <c r="Z218" s="1518" t="s">
        <v>828</v>
      </c>
      <c r="AA218" s="1518" t="s">
        <v>828</v>
      </c>
    </row>
    <row r="219" spans="1:27" ht="26.25" customHeight="1" x14ac:dyDescent="0.25">
      <c r="A219" s="1222" t="s">
        <v>1697</v>
      </c>
      <c r="B219" s="1070" t="s">
        <v>794</v>
      </c>
      <c r="C219" s="574">
        <v>2020</v>
      </c>
      <c r="D219" s="431" t="s">
        <v>776</v>
      </c>
      <c r="E219" s="1223" t="s">
        <v>76</v>
      </c>
      <c r="F219" s="1223" t="s">
        <v>76</v>
      </c>
      <c r="G219" s="1224" t="s">
        <v>1698</v>
      </c>
      <c r="H219" s="458">
        <v>34171</v>
      </c>
      <c r="I219" s="458">
        <v>0</v>
      </c>
      <c r="J219" s="458">
        <v>0</v>
      </c>
      <c r="K219" s="457">
        <v>0</v>
      </c>
      <c r="L219" s="1542">
        <v>0</v>
      </c>
      <c r="M219" s="711">
        <v>0</v>
      </c>
      <c r="N219" s="711">
        <v>0</v>
      </c>
      <c r="O219" s="1228">
        <v>14171</v>
      </c>
      <c r="P219" s="1762">
        <v>0</v>
      </c>
      <c r="Q219" s="1620">
        <v>14171</v>
      </c>
      <c r="R219" s="1620">
        <f t="shared" si="11"/>
        <v>14171</v>
      </c>
      <c r="S219" s="1225">
        <v>0</v>
      </c>
      <c r="T219" s="1226">
        <v>0</v>
      </c>
      <c r="U219" s="1227">
        <v>20000</v>
      </c>
      <c r="V219" s="1228">
        <v>0</v>
      </c>
      <c r="W219" s="427" t="s">
        <v>776</v>
      </c>
      <c r="X219" s="573" t="s">
        <v>20</v>
      </c>
      <c r="Y219" s="1510" t="s">
        <v>1171</v>
      </c>
      <c r="Z219" s="1518" t="s">
        <v>828</v>
      </c>
      <c r="AA219" s="1518" t="s">
        <v>828</v>
      </c>
    </row>
    <row r="220" spans="1:27" ht="26.25" customHeight="1" x14ac:dyDescent="0.25">
      <c r="A220" s="1222" t="s">
        <v>1699</v>
      </c>
      <c r="B220" s="1070" t="s">
        <v>794</v>
      </c>
      <c r="C220" s="574">
        <v>2020</v>
      </c>
      <c r="D220" s="431" t="s">
        <v>776</v>
      </c>
      <c r="E220" s="1223" t="s">
        <v>76</v>
      </c>
      <c r="F220" s="1223" t="s">
        <v>76</v>
      </c>
      <c r="G220" s="1224" t="s">
        <v>1700</v>
      </c>
      <c r="H220" s="458">
        <v>477</v>
      </c>
      <c r="I220" s="458">
        <v>0</v>
      </c>
      <c r="J220" s="458">
        <v>0</v>
      </c>
      <c r="K220" s="457">
        <v>0</v>
      </c>
      <c r="L220" s="1542">
        <v>0</v>
      </c>
      <c r="M220" s="711">
        <v>0</v>
      </c>
      <c r="N220" s="711">
        <v>0</v>
      </c>
      <c r="O220" s="1228">
        <v>477</v>
      </c>
      <c r="P220" s="1762">
        <v>0</v>
      </c>
      <c r="Q220" s="1620">
        <v>477</v>
      </c>
      <c r="R220" s="1620">
        <f t="shared" si="11"/>
        <v>477</v>
      </c>
      <c r="S220" s="1225">
        <v>0</v>
      </c>
      <c r="T220" s="1226">
        <v>0</v>
      </c>
      <c r="U220" s="1227"/>
      <c r="V220" s="1228">
        <v>0</v>
      </c>
      <c r="W220" s="427" t="s">
        <v>776</v>
      </c>
      <c r="X220" s="573" t="s">
        <v>20</v>
      </c>
      <c r="Y220" s="1510" t="s">
        <v>1171</v>
      </c>
      <c r="Z220" s="1518" t="s">
        <v>828</v>
      </c>
      <c r="AA220" s="1518" t="s">
        <v>828</v>
      </c>
    </row>
    <row r="221" spans="1:27" ht="26.25" customHeight="1" x14ac:dyDescent="0.25">
      <c r="A221" s="1222" t="s">
        <v>1701</v>
      </c>
      <c r="B221" s="1070" t="s">
        <v>794</v>
      </c>
      <c r="C221" s="574">
        <v>2020</v>
      </c>
      <c r="D221" s="431" t="s">
        <v>776</v>
      </c>
      <c r="E221" s="1223" t="s">
        <v>76</v>
      </c>
      <c r="F221" s="1223" t="s">
        <v>76</v>
      </c>
      <c r="G221" s="1224" t="s">
        <v>1702</v>
      </c>
      <c r="H221" s="458">
        <v>7260</v>
      </c>
      <c r="I221" s="458">
        <v>0</v>
      </c>
      <c r="J221" s="458">
        <v>0</v>
      </c>
      <c r="K221" s="457">
        <v>0</v>
      </c>
      <c r="L221" s="1542">
        <v>0</v>
      </c>
      <c r="M221" s="711">
        <v>0</v>
      </c>
      <c r="N221" s="711">
        <v>0</v>
      </c>
      <c r="O221" s="1228">
        <v>1000</v>
      </c>
      <c r="P221" s="1762">
        <v>0</v>
      </c>
      <c r="Q221" s="1620">
        <v>1000</v>
      </c>
      <c r="R221" s="1620">
        <f t="shared" si="11"/>
        <v>1000</v>
      </c>
      <c r="S221" s="1225">
        <v>0</v>
      </c>
      <c r="T221" s="1226">
        <v>0</v>
      </c>
      <c r="U221" s="1227">
        <v>6260</v>
      </c>
      <c r="V221" s="1228">
        <v>0</v>
      </c>
      <c r="W221" s="427" t="s">
        <v>776</v>
      </c>
      <c r="X221" s="573" t="s">
        <v>20</v>
      </c>
      <c r="Y221" s="1510" t="s">
        <v>1171</v>
      </c>
      <c r="Z221" s="1518" t="s">
        <v>828</v>
      </c>
      <c r="AA221" s="1518" t="s">
        <v>828</v>
      </c>
    </row>
    <row r="222" spans="1:27" ht="26.25" customHeight="1" x14ac:dyDescent="0.25">
      <c r="A222" s="1222" t="s">
        <v>1703</v>
      </c>
      <c r="B222" s="1070" t="s">
        <v>794</v>
      </c>
      <c r="C222" s="574">
        <v>2020</v>
      </c>
      <c r="D222" s="431" t="s">
        <v>776</v>
      </c>
      <c r="E222" s="1223" t="s">
        <v>76</v>
      </c>
      <c r="F222" s="1223" t="s">
        <v>76</v>
      </c>
      <c r="G222" s="1236" t="s">
        <v>1704</v>
      </c>
      <c r="H222" s="458">
        <v>5602</v>
      </c>
      <c r="I222" s="458">
        <v>0</v>
      </c>
      <c r="J222" s="458">
        <v>0</v>
      </c>
      <c r="K222" s="457">
        <v>0</v>
      </c>
      <c r="L222" s="1542">
        <v>0</v>
      </c>
      <c r="M222" s="711">
        <v>0</v>
      </c>
      <c r="N222" s="711">
        <v>0</v>
      </c>
      <c r="O222" s="1228">
        <v>1000</v>
      </c>
      <c r="P222" s="1762">
        <v>0</v>
      </c>
      <c r="Q222" s="1620">
        <v>1000</v>
      </c>
      <c r="R222" s="1620">
        <f t="shared" si="11"/>
        <v>1000</v>
      </c>
      <c r="S222" s="1225">
        <v>0</v>
      </c>
      <c r="T222" s="1226">
        <v>0</v>
      </c>
      <c r="U222" s="1227">
        <v>4602</v>
      </c>
      <c r="V222" s="1228">
        <v>0</v>
      </c>
      <c r="W222" s="427" t="s">
        <v>776</v>
      </c>
      <c r="X222" s="573" t="s">
        <v>20</v>
      </c>
      <c r="Y222" s="1510" t="s">
        <v>1171</v>
      </c>
      <c r="Z222" s="1518" t="s">
        <v>828</v>
      </c>
      <c r="AA222" s="1518" t="s">
        <v>828</v>
      </c>
    </row>
    <row r="223" spans="1:27" ht="26.25" customHeight="1" x14ac:dyDescent="0.25">
      <c r="A223" s="1222" t="s">
        <v>1705</v>
      </c>
      <c r="B223" s="1070" t="s">
        <v>794</v>
      </c>
      <c r="C223" s="574">
        <v>2020</v>
      </c>
      <c r="D223" s="431" t="s">
        <v>776</v>
      </c>
      <c r="E223" s="1223" t="s">
        <v>76</v>
      </c>
      <c r="F223" s="1223" t="s">
        <v>76</v>
      </c>
      <c r="G223" s="1224" t="s">
        <v>1706</v>
      </c>
      <c r="H223" s="458">
        <v>13786</v>
      </c>
      <c r="I223" s="458">
        <v>0</v>
      </c>
      <c r="J223" s="458">
        <v>0</v>
      </c>
      <c r="K223" s="457">
        <v>0</v>
      </c>
      <c r="L223" s="1542">
        <v>0</v>
      </c>
      <c r="M223" s="711">
        <v>0</v>
      </c>
      <c r="N223" s="711">
        <v>0</v>
      </c>
      <c r="O223" s="1228">
        <v>5786</v>
      </c>
      <c r="P223" s="1762">
        <v>0</v>
      </c>
      <c r="Q223" s="1620">
        <v>5786</v>
      </c>
      <c r="R223" s="1620">
        <f t="shared" si="11"/>
        <v>5786</v>
      </c>
      <c r="S223" s="1225">
        <v>0</v>
      </c>
      <c r="T223" s="1226">
        <v>0</v>
      </c>
      <c r="U223" s="1227">
        <v>8000</v>
      </c>
      <c r="V223" s="1228">
        <v>0</v>
      </c>
      <c r="W223" s="427" t="s">
        <v>776</v>
      </c>
      <c r="X223" s="573" t="s">
        <v>20</v>
      </c>
      <c r="Y223" s="1510" t="s">
        <v>1171</v>
      </c>
      <c r="Z223" s="1518" t="s">
        <v>828</v>
      </c>
      <c r="AA223" s="1518" t="s">
        <v>828</v>
      </c>
    </row>
    <row r="224" spans="1:27" ht="26.25" customHeight="1" x14ac:dyDescent="0.25">
      <c r="A224" s="1222" t="s">
        <v>1707</v>
      </c>
      <c r="B224" s="1070" t="s">
        <v>794</v>
      </c>
      <c r="C224" s="574">
        <v>2020</v>
      </c>
      <c r="D224" s="431" t="s">
        <v>776</v>
      </c>
      <c r="E224" s="1223" t="s">
        <v>76</v>
      </c>
      <c r="F224" s="1223" t="s">
        <v>76</v>
      </c>
      <c r="G224" s="1224" t="s">
        <v>1708</v>
      </c>
      <c r="H224" s="458">
        <v>1983</v>
      </c>
      <c r="I224" s="458">
        <v>0</v>
      </c>
      <c r="J224" s="458">
        <v>0</v>
      </c>
      <c r="K224" s="457">
        <v>0</v>
      </c>
      <c r="L224" s="1542">
        <v>0</v>
      </c>
      <c r="M224" s="711">
        <v>0</v>
      </c>
      <c r="N224" s="711">
        <v>0</v>
      </c>
      <c r="O224" s="1228">
        <v>1000</v>
      </c>
      <c r="P224" s="1762">
        <v>0</v>
      </c>
      <c r="Q224" s="1620">
        <v>1000</v>
      </c>
      <c r="R224" s="1620">
        <f t="shared" si="11"/>
        <v>1000</v>
      </c>
      <c r="S224" s="1225">
        <v>0</v>
      </c>
      <c r="T224" s="1226">
        <v>0</v>
      </c>
      <c r="U224" s="1227">
        <v>983</v>
      </c>
      <c r="V224" s="1228">
        <v>0</v>
      </c>
      <c r="W224" s="427" t="s">
        <v>776</v>
      </c>
      <c r="X224" s="573" t="s">
        <v>20</v>
      </c>
      <c r="Y224" s="1510" t="s">
        <v>1171</v>
      </c>
      <c r="Z224" s="1518" t="s">
        <v>828</v>
      </c>
      <c r="AA224" s="1518" t="s">
        <v>828</v>
      </c>
    </row>
    <row r="225" spans="1:27" ht="26.25" customHeight="1" x14ac:dyDescent="0.25">
      <c r="A225" s="1222" t="s">
        <v>1709</v>
      </c>
      <c r="B225" s="1070" t="s">
        <v>794</v>
      </c>
      <c r="C225" s="574">
        <v>2020</v>
      </c>
      <c r="D225" s="431" t="s">
        <v>776</v>
      </c>
      <c r="E225" s="1223" t="s">
        <v>76</v>
      </c>
      <c r="F225" s="1223" t="s">
        <v>76</v>
      </c>
      <c r="G225" s="1224" t="s">
        <v>1710</v>
      </c>
      <c r="H225" s="458">
        <v>3000</v>
      </c>
      <c r="I225" s="458">
        <v>0</v>
      </c>
      <c r="J225" s="458">
        <v>0</v>
      </c>
      <c r="K225" s="457">
        <v>0</v>
      </c>
      <c r="L225" s="1542">
        <v>0</v>
      </c>
      <c r="M225" s="711">
        <v>3000</v>
      </c>
      <c r="N225" s="711">
        <v>0</v>
      </c>
      <c r="O225" s="1228">
        <v>0</v>
      </c>
      <c r="P225" s="1762">
        <v>0</v>
      </c>
      <c r="Q225" s="1620">
        <v>3000</v>
      </c>
      <c r="R225" s="1620">
        <f t="shared" si="11"/>
        <v>3000</v>
      </c>
      <c r="S225" s="1225">
        <v>0</v>
      </c>
      <c r="T225" s="1226">
        <v>0</v>
      </c>
      <c r="U225" s="1227">
        <v>0</v>
      </c>
      <c r="V225" s="1228">
        <v>0</v>
      </c>
      <c r="W225" s="427" t="s">
        <v>776</v>
      </c>
      <c r="X225" s="573" t="s">
        <v>46</v>
      </c>
      <c r="Y225" s="1510" t="s">
        <v>854</v>
      </c>
      <c r="Z225" s="1518" t="s">
        <v>829</v>
      </c>
      <c r="AA225" s="1518" t="s">
        <v>828</v>
      </c>
    </row>
    <row r="226" spans="1:27" ht="26.25" customHeight="1" x14ac:dyDescent="0.25">
      <c r="A226" s="1222" t="s">
        <v>1711</v>
      </c>
      <c r="B226" s="1070" t="s">
        <v>794</v>
      </c>
      <c r="C226" s="574">
        <v>2020</v>
      </c>
      <c r="D226" s="431" t="s">
        <v>776</v>
      </c>
      <c r="E226" s="1223" t="s">
        <v>76</v>
      </c>
      <c r="F226" s="1223" t="s">
        <v>76</v>
      </c>
      <c r="G226" s="1224" t="s">
        <v>1712</v>
      </c>
      <c r="H226" s="458">
        <v>3200</v>
      </c>
      <c r="I226" s="458">
        <v>0</v>
      </c>
      <c r="J226" s="458">
        <v>0</v>
      </c>
      <c r="K226" s="457">
        <v>0</v>
      </c>
      <c r="L226" s="1542">
        <v>0</v>
      </c>
      <c r="M226" s="711">
        <v>0</v>
      </c>
      <c r="N226" s="711">
        <v>0</v>
      </c>
      <c r="O226" s="1228">
        <v>1500</v>
      </c>
      <c r="P226" s="1762">
        <v>0</v>
      </c>
      <c r="Q226" s="1620">
        <v>1500</v>
      </c>
      <c r="R226" s="1620">
        <f t="shared" si="11"/>
        <v>1500</v>
      </c>
      <c r="S226" s="1225">
        <v>0</v>
      </c>
      <c r="T226" s="1226">
        <v>0</v>
      </c>
      <c r="U226" s="1227">
        <v>1700</v>
      </c>
      <c r="V226" s="1228">
        <v>0</v>
      </c>
      <c r="W226" s="427" t="s">
        <v>776</v>
      </c>
      <c r="X226" s="573" t="s">
        <v>20</v>
      </c>
      <c r="Y226" s="1510" t="s">
        <v>1171</v>
      </c>
      <c r="Z226" s="1518" t="s">
        <v>828</v>
      </c>
      <c r="AA226" s="1518" t="s">
        <v>828</v>
      </c>
    </row>
    <row r="227" spans="1:27" ht="26.25" customHeight="1" x14ac:dyDescent="0.25">
      <c r="A227" s="1222" t="s">
        <v>1713</v>
      </c>
      <c r="B227" s="1070" t="s">
        <v>794</v>
      </c>
      <c r="C227" s="574">
        <v>2020</v>
      </c>
      <c r="D227" s="431" t="s">
        <v>776</v>
      </c>
      <c r="E227" s="1223" t="s">
        <v>76</v>
      </c>
      <c r="F227" s="1223" t="s">
        <v>76</v>
      </c>
      <c r="G227" s="1224" t="s">
        <v>1714</v>
      </c>
      <c r="H227" s="458">
        <v>4500</v>
      </c>
      <c r="I227" s="458">
        <v>0</v>
      </c>
      <c r="J227" s="458">
        <v>0</v>
      </c>
      <c r="K227" s="457">
        <v>0</v>
      </c>
      <c r="L227" s="1542">
        <v>0</v>
      </c>
      <c r="M227" s="711">
        <v>0</v>
      </c>
      <c r="N227" s="711">
        <v>0</v>
      </c>
      <c r="O227" s="1228">
        <v>2000</v>
      </c>
      <c r="P227" s="1762">
        <v>0</v>
      </c>
      <c r="Q227" s="1620">
        <v>2000</v>
      </c>
      <c r="R227" s="1620">
        <f t="shared" si="11"/>
        <v>2000</v>
      </c>
      <c r="S227" s="1225">
        <v>0</v>
      </c>
      <c r="T227" s="1226">
        <v>0</v>
      </c>
      <c r="U227" s="1227">
        <v>2500</v>
      </c>
      <c r="V227" s="1228">
        <v>0</v>
      </c>
      <c r="W227" s="427" t="s">
        <v>776</v>
      </c>
      <c r="X227" s="573" t="s">
        <v>20</v>
      </c>
      <c r="Y227" s="1510" t="s">
        <v>1171</v>
      </c>
      <c r="Z227" s="1518" t="s">
        <v>828</v>
      </c>
      <c r="AA227" s="1518" t="s">
        <v>828</v>
      </c>
    </row>
    <row r="228" spans="1:27" ht="18" customHeight="1" thickBot="1" x14ac:dyDescent="0.3">
      <c r="A228" s="175"/>
      <c r="B228" s="472"/>
      <c r="C228" s="56"/>
      <c r="D228" s="56"/>
      <c r="E228" s="496"/>
      <c r="F228" s="91"/>
      <c r="G228" s="500"/>
      <c r="H228" s="178"/>
      <c r="I228" s="178"/>
      <c r="J228" s="326"/>
      <c r="K228" s="226"/>
      <c r="L228" s="1540"/>
      <c r="M228" s="216"/>
      <c r="N228" s="388"/>
      <c r="O228" s="8"/>
      <c r="P228" s="1749"/>
      <c r="Q228" s="487"/>
      <c r="R228" s="1719"/>
      <c r="S228" s="8"/>
      <c r="T228" s="7"/>
      <c r="U228" s="7"/>
      <c r="V228" s="7"/>
      <c r="W228" s="530"/>
      <c r="X228" s="56"/>
      <c r="Y228" s="234"/>
      <c r="Z228" s="217"/>
      <c r="AA228" s="217"/>
    </row>
    <row r="229" spans="1:27" ht="35.25" customHeight="1" thickBot="1" x14ac:dyDescent="0.3">
      <c r="A229" s="1496" t="s">
        <v>776</v>
      </c>
      <c r="B229" s="1497" t="s">
        <v>776</v>
      </c>
      <c r="C229" s="151" t="s">
        <v>776</v>
      </c>
      <c r="D229" s="112" t="s">
        <v>776</v>
      </c>
      <c r="E229" s="497" t="s">
        <v>776</v>
      </c>
      <c r="F229" s="151" t="s">
        <v>776</v>
      </c>
      <c r="G229" s="499" t="s">
        <v>905</v>
      </c>
      <c r="H229" s="96">
        <f>SUM(H47:H228)</f>
        <v>3236379.8391939993</v>
      </c>
      <c r="I229" s="96">
        <f>SUM(I47:I228)</f>
        <v>527079.36118000001</v>
      </c>
      <c r="J229" s="96">
        <f>SUM(J47:J228)</f>
        <v>871188.48212000018</v>
      </c>
      <c r="K229" s="96">
        <f t="shared" ref="K229:V229" si="12">SUM(K47:K228)</f>
        <v>608652.62731999997</v>
      </c>
      <c r="L229" s="96">
        <f t="shared" si="12"/>
        <v>114916.54473400004</v>
      </c>
      <c r="M229" s="96">
        <f t="shared" si="12"/>
        <v>200198.16563999999</v>
      </c>
      <c r="N229" s="364">
        <f t="shared" si="12"/>
        <v>196995.01416999998</v>
      </c>
      <c r="O229" s="96">
        <f t="shared" si="12"/>
        <v>374270.12920999998</v>
      </c>
      <c r="P229" s="1406">
        <f t="shared" si="12"/>
        <v>781324.6711299998</v>
      </c>
      <c r="Q229" s="364">
        <f t="shared" si="12"/>
        <v>105055.18262399996</v>
      </c>
      <c r="R229" s="364">
        <f t="shared" si="12"/>
        <v>886379.85375399969</v>
      </c>
      <c r="S229" s="364">
        <f t="shared" si="12"/>
        <v>0</v>
      </c>
      <c r="T229" s="364">
        <f t="shared" si="12"/>
        <v>0</v>
      </c>
      <c r="U229" s="364">
        <f t="shared" si="12"/>
        <v>866562.99693999998</v>
      </c>
      <c r="V229" s="96">
        <f t="shared" si="12"/>
        <v>347705</v>
      </c>
      <c r="W229" s="128" t="s">
        <v>1908</v>
      </c>
      <c r="X229" s="97" t="s">
        <v>776</v>
      </c>
      <c r="Y229" s="681" t="s">
        <v>776</v>
      </c>
      <c r="Z229" s="97" t="s">
        <v>776</v>
      </c>
      <c r="AA229" s="102" t="s">
        <v>776</v>
      </c>
    </row>
    <row r="230" spans="1:27" s="470" customFormat="1" ht="39.75" customHeight="1" x14ac:dyDescent="0.25">
      <c r="A230" s="1273" t="s">
        <v>1025</v>
      </c>
      <c r="B230" s="1274" t="s">
        <v>167</v>
      </c>
      <c r="C230" s="555">
        <v>2016</v>
      </c>
      <c r="D230" s="372" t="s">
        <v>1007</v>
      </c>
      <c r="E230" s="1275" t="s">
        <v>12</v>
      </c>
      <c r="F230" s="1276" t="s">
        <v>168</v>
      </c>
      <c r="G230" s="1277" t="s">
        <v>169</v>
      </c>
      <c r="H230" s="402">
        <v>17735.187600000001</v>
      </c>
      <c r="I230" s="402">
        <v>16990.507850000002</v>
      </c>
      <c r="J230" s="1607">
        <v>24.867579999999862</v>
      </c>
      <c r="K230" s="588">
        <v>23.897500000000001</v>
      </c>
      <c r="L230" s="1544">
        <v>0</v>
      </c>
      <c r="M230" s="1278">
        <v>0</v>
      </c>
      <c r="N230" s="1279">
        <v>0</v>
      </c>
      <c r="O230" s="1280">
        <v>0</v>
      </c>
      <c r="P230" s="1803">
        <v>0.97008000000000005</v>
      </c>
      <c r="Q230" s="1804">
        <f>-1*P230</f>
        <v>-0.97008000000000005</v>
      </c>
      <c r="R230" s="1729">
        <f t="shared" ref="R230:R293" si="13">P230+Q230</f>
        <v>0</v>
      </c>
      <c r="S230" s="1247">
        <v>0</v>
      </c>
      <c r="T230" s="1247">
        <v>0</v>
      </c>
      <c r="U230" s="848">
        <v>0</v>
      </c>
      <c r="V230" s="1247">
        <v>720.78224999999998</v>
      </c>
      <c r="W230" s="354" t="s">
        <v>1798</v>
      </c>
      <c r="X230" s="504" t="s">
        <v>46</v>
      </c>
      <c r="Y230" s="1511" t="s">
        <v>1799</v>
      </c>
      <c r="Z230" s="727" t="s">
        <v>829</v>
      </c>
      <c r="AA230" s="727" t="s">
        <v>829</v>
      </c>
    </row>
    <row r="231" spans="1:27" s="464" customFormat="1" ht="30" x14ac:dyDescent="0.25">
      <c r="A231" s="185" t="s">
        <v>1026</v>
      </c>
      <c r="B231" s="116" t="s">
        <v>170</v>
      </c>
      <c r="C231" s="68">
        <v>2016</v>
      </c>
      <c r="D231" s="68" t="s">
        <v>1007</v>
      </c>
      <c r="E231" s="69" t="s">
        <v>12</v>
      </c>
      <c r="F231" s="77" t="s">
        <v>171</v>
      </c>
      <c r="G231" s="162" t="s">
        <v>172</v>
      </c>
      <c r="H231" s="19">
        <v>10769.87269</v>
      </c>
      <c r="I231" s="19">
        <v>83.66</v>
      </c>
      <c r="J231" s="1608">
        <v>10686.21269</v>
      </c>
      <c r="K231" s="422">
        <v>10686.21269</v>
      </c>
      <c r="L231" s="335">
        <v>0</v>
      </c>
      <c r="M231" s="438">
        <v>0</v>
      </c>
      <c r="N231" s="659">
        <v>0</v>
      </c>
      <c r="O231" s="256">
        <v>0</v>
      </c>
      <c r="P231" s="1749">
        <v>0</v>
      </c>
      <c r="Q231" s="487">
        <v>0</v>
      </c>
      <c r="R231" s="1719">
        <f t="shared" si="13"/>
        <v>0</v>
      </c>
      <c r="S231" s="20">
        <v>0</v>
      </c>
      <c r="T231" s="20">
        <v>0</v>
      </c>
      <c r="U231" s="21">
        <v>0</v>
      </c>
      <c r="V231" s="21">
        <v>0</v>
      </c>
      <c r="W231" s="34" t="s">
        <v>776</v>
      </c>
      <c r="X231" s="68" t="s">
        <v>866</v>
      </c>
      <c r="Y231" s="257" t="s">
        <v>25</v>
      </c>
      <c r="Z231" s="67" t="s">
        <v>829</v>
      </c>
      <c r="AA231" s="67" t="s">
        <v>829</v>
      </c>
    </row>
    <row r="232" spans="1:27" s="429" customFormat="1" ht="42.75" customHeight="1" x14ac:dyDescent="0.25">
      <c r="A232" s="1135" t="s">
        <v>1027</v>
      </c>
      <c r="B232" s="764" t="s">
        <v>173</v>
      </c>
      <c r="C232" s="819">
        <v>2016</v>
      </c>
      <c r="D232" s="819" t="s">
        <v>1006</v>
      </c>
      <c r="E232" s="820" t="s">
        <v>12</v>
      </c>
      <c r="F232" s="765" t="s">
        <v>174</v>
      </c>
      <c r="G232" s="766" t="s">
        <v>175</v>
      </c>
      <c r="H232" s="769">
        <v>59000</v>
      </c>
      <c r="I232" s="769">
        <v>1989.8019999999999</v>
      </c>
      <c r="J232" s="1167">
        <v>268.37799999999999</v>
      </c>
      <c r="K232" s="853">
        <v>0</v>
      </c>
      <c r="L232" s="1545">
        <v>268.37799999999999</v>
      </c>
      <c r="M232" s="1166">
        <v>0</v>
      </c>
      <c r="N232" s="771">
        <v>0</v>
      </c>
      <c r="O232" s="773">
        <v>0</v>
      </c>
      <c r="P232" s="1751">
        <v>268.37799999999999</v>
      </c>
      <c r="Q232" s="1768">
        <v>0</v>
      </c>
      <c r="R232" s="1167">
        <f t="shared" si="13"/>
        <v>268.37799999999999</v>
      </c>
      <c r="S232" s="773">
        <v>0</v>
      </c>
      <c r="T232" s="773">
        <v>0</v>
      </c>
      <c r="U232" s="759">
        <v>0</v>
      </c>
      <c r="V232" s="759">
        <v>56741.82</v>
      </c>
      <c r="W232" s="1282" t="s">
        <v>1800</v>
      </c>
      <c r="X232" s="819" t="s">
        <v>20</v>
      </c>
      <c r="Y232" s="1512" t="s">
        <v>882</v>
      </c>
      <c r="Z232" s="1283" t="s">
        <v>828</v>
      </c>
      <c r="AA232" s="1283" t="s">
        <v>828</v>
      </c>
    </row>
    <row r="233" spans="1:27" s="429" customFormat="1" ht="45.75" customHeight="1" x14ac:dyDescent="0.25">
      <c r="A233" s="849" t="s">
        <v>1028</v>
      </c>
      <c r="B233" s="850" t="s">
        <v>176</v>
      </c>
      <c r="C233" s="553">
        <v>2017</v>
      </c>
      <c r="D233" s="553" t="s">
        <v>177</v>
      </c>
      <c r="E233" s="851" t="s">
        <v>12</v>
      </c>
      <c r="F233" s="802" t="s">
        <v>178</v>
      </c>
      <c r="G233" s="1284" t="s">
        <v>179</v>
      </c>
      <c r="H233" s="767">
        <v>50300</v>
      </c>
      <c r="I233" s="767">
        <v>0</v>
      </c>
      <c r="J233" s="1145">
        <v>44700</v>
      </c>
      <c r="K233" s="862">
        <v>32471.348379999999</v>
      </c>
      <c r="L233" s="1524">
        <v>17828.651620000001</v>
      </c>
      <c r="M233" s="841">
        <v>0</v>
      </c>
      <c r="N233" s="841">
        <v>0</v>
      </c>
      <c r="O233" s="857">
        <v>0</v>
      </c>
      <c r="P233" s="770">
        <v>17828.651620000001</v>
      </c>
      <c r="Q233" s="1612">
        <v>0</v>
      </c>
      <c r="R233" s="1145">
        <f t="shared" si="13"/>
        <v>17828.651620000001</v>
      </c>
      <c r="S233" s="857">
        <v>0</v>
      </c>
      <c r="T233" s="857">
        <v>0</v>
      </c>
      <c r="U233" s="855">
        <v>0</v>
      </c>
      <c r="V233" s="855">
        <v>0</v>
      </c>
      <c r="W233" s="774" t="s">
        <v>1801</v>
      </c>
      <c r="X233" s="553" t="s">
        <v>46</v>
      </c>
      <c r="Y233" s="775" t="s">
        <v>883</v>
      </c>
      <c r="Z233" s="774" t="s">
        <v>829</v>
      </c>
      <c r="AA233" s="774" t="s">
        <v>829</v>
      </c>
    </row>
    <row r="234" spans="1:27" s="467" customFormat="1" ht="28.5" customHeight="1" x14ac:dyDescent="0.25">
      <c r="A234" s="185" t="s">
        <v>1029</v>
      </c>
      <c r="B234" s="118" t="s">
        <v>180</v>
      </c>
      <c r="C234" s="76">
        <v>2017</v>
      </c>
      <c r="D234" s="76" t="s">
        <v>177</v>
      </c>
      <c r="E234" s="81" t="s">
        <v>12</v>
      </c>
      <c r="F234" s="1200" t="s">
        <v>181</v>
      </c>
      <c r="G234" s="1285" t="s">
        <v>182</v>
      </c>
      <c r="H234" s="78">
        <f>14211.32-720.48309</f>
        <v>13490.83691</v>
      </c>
      <c r="I234" s="78">
        <v>10130.188659999998</v>
      </c>
      <c r="J234" s="1609">
        <v>3360.6482500000002</v>
      </c>
      <c r="K234" s="648">
        <v>3360.6482500000002</v>
      </c>
      <c r="L234" s="1546">
        <v>0</v>
      </c>
      <c r="M234" s="347">
        <v>0</v>
      </c>
      <c r="N234" s="665">
        <v>0</v>
      </c>
      <c r="O234" s="348">
        <v>0</v>
      </c>
      <c r="P234" s="1756">
        <v>0</v>
      </c>
      <c r="Q234" s="1805">
        <v>0</v>
      </c>
      <c r="R234" s="1719">
        <f t="shared" si="13"/>
        <v>0</v>
      </c>
      <c r="S234" s="39">
        <v>0</v>
      </c>
      <c r="T234" s="348">
        <v>0</v>
      </c>
      <c r="U234" s="38">
        <v>0</v>
      </c>
      <c r="V234" s="38">
        <v>0</v>
      </c>
      <c r="W234" s="120" t="s">
        <v>776</v>
      </c>
      <c r="X234" s="76" t="s">
        <v>866</v>
      </c>
      <c r="Y234" s="1286" t="s">
        <v>322</v>
      </c>
      <c r="Z234" s="620" t="s">
        <v>829</v>
      </c>
      <c r="AA234" s="620" t="s">
        <v>829</v>
      </c>
    </row>
    <row r="235" spans="1:27" s="506" customFormat="1" ht="28.5" customHeight="1" x14ac:dyDescent="0.25">
      <c r="A235" s="1287" t="s">
        <v>1030</v>
      </c>
      <c r="B235" s="1288" t="s">
        <v>183</v>
      </c>
      <c r="C235" s="1289">
        <v>2017</v>
      </c>
      <c r="D235" s="237" t="s">
        <v>1022</v>
      </c>
      <c r="E235" s="341" t="s">
        <v>12</v>
      </c>
      <c r="F235" s="1450" t="s">
        <v>184</v>
      </c>
      <c r="G235" s="1290" t="s">
        <v>185</v>
      </c>
      <c r="H235" s="238">
        <f>54035.773-23450</f>
        <v>30585.773000000001</v>
      </c>
      <c r="I235" s="283">
        <v>558.548</v>
      </c>
      <c r="J235" s="1610">
        <v>27.224999999998545</v>
      </c>
      <c r="K235" s="181">
        <v>27.225000000000001</v>
      </c>
      <c r="L235" s="1547">
        <v>7500</v>
      </c>
      <c r="M235" s="403">
        <v>7500</v>
      </c>
      <c r="N235" s="403">
        <v>7500</v>
      </c>
      <c r="O235" s="30">
        <v>7500</v>
      </c>
      <c r="P235" s="1806">
        <v>30000</v>
      </c>
      <c r="Q235" s="1807">
        <v>0</v>
      </c>
      <c r="R235" s="1715">
        <f t="shared" si="13"/>
        <v>30000</v>
      </c>
      <c r="S235" s="1291">
        <v>0</v>
      </c>
      <c r="T235" s="1292">
        <v>0</v>
      </c>
      <c r="U235" s="239">
        <v>0</v>
      </c>
      <c r="V235" s="239">
        <v>0</v>
      </c>
      <c r="W235" s="284" t="s">
        <v>1802</v>
      </c>
      <c r="X235" s="237" t="s">
        <v>14</v>
      </c>
      <c r="Y235" s="292" t="s">
        <v>746</v>
      </c>
      <c r="Z235" s="281" t="s">
        <v>828</v>
      </c>
      <c r="AA235" s="281" t="s">
        <v>828</v>
      </c>
    </row>
    <row r="236" spans="1:27" s="495" customFormat="1" ht="28.5" customHeight="1" x14ac:dyDescent="0.25">
      <c r="A236" s="61" t="s">
        <v>1031</v>
      </c>
      <c r="B236" s="87" t="s">
        <v>186</v>
      </c>
      <c r="C236" s="5">
        <v>2017</v>
      </c>
      <c r="D236" s="5" t="s">
        <v>177</v>
      </c>
      <c r="E236" s="65" t="s">
        <v>12</v>
      </c>
      <c r="F236" s="66" t="s">
        <v>187</v>
      </c>
      <c r="G236" s="514" t="s">
        <v>188</v>
      </c>
      <c r="H236" s="14">
        <v>73630</v>
      </c>
      <c r="I236" s="14">
        <v>1254.8019999999999</v>
      </c>
      <c r="J236" s="1610">
        <v>0</v>
      </c>
      <c r="K236" s="181">
        <v>0</v>
      </c>
      <c r="L236" s="1547">
        <v>0</v>
      </c>
      <c r="M236" s="274">
        <v>0</v>
      </c>
      <c r="N236" s="248">
        <v>20000</v>
      </c>
      <c r="O236" s="30">
        <v>25000</v>
      </c>
      <c r="P236" s="1747">
        <v>45000</v>
      </c>
      <c r="Q236" s="488">
        <v>0</v>
      </c>
      <c r="R236" s="1715">
        <f t="shared" si="13"/>
        <v>45000</v>
      </c>
      <c r="S236" s="15">
        <v>0</v>
      </c>
      <c r="T236" s="15">
        <v>0</v>
      </c>
      <c r="U236" s="16">
        <f>72375.198-45000</f>
        <v>27375.198000000004</v>
      </c>
      <c r="V236" s="16">
        <v>0</v>
      </c>
      <c r="W236" s="282" t="s">
        <v>1225</v>
      </c>
      <c r="X236" s="5" t="s">
        <v>20</v>
      </c>
      <c r="Y236" s="232" t="s">
        <v>883</v>
      </c>
      <c r="Z236" s="104" t="s">
        <v>828</v>
      </c>
      <c r="AA236" s="104" t="s">
        <v>828</v>
      </c>
    </row>
    <row r="237" spans="1:27" s="429" customFormat="1" ht="51" x14ac:dyDescent="0.25">
      <c r="A237" s="61" t="s">
        <v>1032</v>
      </c>
      <c r="B237" s="87" t="s">
        <v>189</v>
      </c>
      <c r="C237" s="5">
        <v>2017</v>
      </c>
      <c r="D237" s="5" t="s">
        <v>996</v>
      </c>
      <c r="E237" s="65" t="s">
        <v>12</v>
      </c>
      <c r="F237" s="66" t="s">
        <v>190</v>
      </c>
      <c r="G237" s="514" t="s">
        <v>191</v>
      </c>
      <c r="H237" s="14">
        <v>21389</v>
      </c>
      <c r="I237" s="14">
        <v>0</v>
      </c>
      <c r="J237" s="1610">
        <v>0</v>
      </c>
      <c r="K237" s="181">
        <v>0</v>
      </c>
      <c r="L237" s="1547">
        <v>0</v>
      </c>
      <c r="M237" s="403">
        <v>0</v>
      </c>
      <c r="N237" s="403">
        <v>0</v>
      </c>
      <c r="O237" s="30">
        <v>11389</v>
      </c>
      <c r="P237" s="1747">
        <v>11389</v>
      </c>
      <c r="Q237" s="488">
        <v>0</v>
      </c>
      <c r="R237" s="1715">
        <f t="shared" si="13"/>
        <v>11389</v>
      </c>
      <c r="S237" s="15">
        <v>0</v>
      </c>
      <c r="T237" s="30">
        <v>0</v>
      </c>
      <c r="U237" s="16">
        <v>10000</v>
      </c>
      <c r="V237" s="16">
        <v>0</v>
      </c>
      <c r="W237" s="53" t="s">
        <v>979</v>
      </c>
      <c r="X237" s="5" t="s">
        <v>14</v>
      </c>
      <c r="Y237" s="232" t="s">
        <v>882</v>
      </c>
      <c r="Z237" s="104" t="s">
        <v>828</v>
      </c>
      <c r="AA237" s="104" t="s">
        <v>828</v>
      </c>
    </row>
    <row r="238" spans="1:27" s="467" customFormat="1" ht="28.5" customHeight="1" x14ac:dyDescent="0.25">
      <c r="A238" s="185" t="s">
        <v>1033</v>
      </c>
      <c r="B238" s="116" t="s">
        <v>192</v>
      </c>
      <c r="C238" s="68">
        <v>2017</v>
      </c>
      <c r="D238" s="68" t="s">
        <v>996</v>
      </c>
      <c r="E238" s="69" t="s">
        <v>193</v>
      </c>
      <c r="F238" s="77" t="s">
        <v>193</v>
      </c>
      <c r="G238" s="162" t="s">
        <v>194</v>
      </c>
      <c r="H238" s="19">
        <v>0</v>
      </c>
      <c r="I238" s="1502">
        <v>0</v>
      </c>
      <c r="J238" s="1608">
        <v>0</v>
      </c>
      <c r="K238" s="422">
        <v>0</v>
      </c>
      <c r="L238" s="334">
        <v>0</v>
      </c>
      <c r="M238" s="305">
        <v>0</v>
      </c>
      <c r="N238" s="294">
        <v>0</v>
      </c>
      <c r="O238" s="109">
        <v>0</v>
      </c>
      <c r="P238" s="1808">
        <v>1527</v>
      </c>
      <c r="Q238" s="1809">
        <v>-1527</v>
      </c>
      <c r="R238" s="1719">
        <f t="shared" si="13"/>
        <v>0</v>
      </c>
      <c r="S238" s="1294">
        <v>0</v>
      </c>
      <c r="T238" s="433">
        <v>0</v>
      </c>
      <c r="U238" s="1295">
        <v>0</v>
      </c>
      <c r="V238" s="1293">
        <v>0</v>
      </c>
      <c r="W238" s="115" t="s">
        <v>776</v>
      </c>
      <c r="X238" s="68" t="s">
        <v>836</v>
      </c>
      <c r="Y238" s="257" t="s">
        <v>305</v>
      </c>
      <c r="Z238" s="1296" t="s">
        <v>828</v>
      </c>
      <c r="AA238" s="1296" t="s">
        <v>828</v>
      </c>
    </row>
    <row r="239" spans="1:27" s="429" customFormat="1" ht="28.5" customHeight="1" x14ac:dyDescent="0.25">
      <c r="A239" s="61" t="s">
        <v>1034</v>
      </c>
      <c r="B239" s="87" t="s">
        <v>195</v>
      </c>
      <c r="C239" s="5">
        <v>2017</v>
      </c>
      <c r="D239" s="5" t="s">
        <v>996</v>
      </c>
      <c r="E239" s="65" t="s">
        <v>12</v>
      </c>
      <c r="F239" s="66" t="s">
        <v>193</v>
      </c>
      <c r="G239" s="514" t="s">
        <v>196</v>
      </c>
      <c r="H239" s="14">
        <v>14599.42</v>
      </c>
      <c r="I239" s="63">
        <v>0</v>
      </c>
      <c r="J239" s="1610">
        <v>139.14999999999964</v>
      </c>
      <c r="K239" s="181">
        <v>139.15</v>
      </c>
      <c r="L239" s="1547">
        <v>0</v>
      </c>
      <c r="M239" s="274">
        <v>0</v>
      </c>
      <c r="N239" s="248">
        <v>0</v>
      </c>
      <c r="O239" s="30">
        <v>0</v>
      </c>
      <c r="P239" s="1806">
        <v>0</v>
      </c>
      <c r="Q239" s="1807">
        <v>0</v>
      </c>
      <c r="R239" s="1715">
        <f t="shared" si="13"/>
        <v>0</v>
      </c>
      <c r="S239" s="15">
        <v>0</v>
      </c>
      <c r="T239" s="30">
        <v>0</v>
      </c>
      <c r="U239" s="29">
        <v>0</v>
      </c>
      <c r="V239" s="29">
        <v>14460.27</v>
      </c>
      <c r="W239" s="53" t="s">
        <v>1023</v>
      </c>
      <c r="X239" s="5" t="s">
        <v>20</v>
      </c>
      <c r="Y239" s="232" t="s">
        <v>981</v>
      </c>
      <c r="Z239" s="104" t="s">
        <v>828</v>
      </c>
      <c r="AA239" s="104" t="s">
        <v>828</v>
      </c>
    </row>
    <row r="240" spans="1:27" s="429" customFormat="1" ht="42.75" customHeight="1" x14ac:dyDescent="0.25">
      <c r="A240" s="858" t="s">
        <v>1035</v>
      </c>
      <c r="B240" s="850" t="s">
        <v>197</v>
      </c>
      <c r="C240" s="553">
        <v>2017</v>
      </c>
      <c r="D240" s="553" t="s">
        <v>996</v>
      </c>
      <c r="E240" s="851" t="s">
        <v>198</v>
      </c>
      <c r="F240" s="802" t="s">
        <v>198</v>
      </c>
      <c r="G240" s="1284" t="s">
        <v>199</v>
      </c>
      <c r="H240" s="767">
        <v>2002</v>
      </c>
      <c r="I240" s="1145">
        <v>482.005</v>
      </c>
      <c r="J240" s="1145">
        <v>300</v>
      </c>
      <c r="K240" s="853">
        <v>300</v>
      </c>
      <c r="L240" s="1536">
        <v>0</v>
      </c>
      <c r="M240" s="991">
        <v>0</v>
      </c>
      <c r="N240" s="923">
        <v>1086.9390000000001</v>
      </c>
      <c r="O240" s="993">
        <v>0</v>
      </c>
      <c r="P240" s="1735">
        <v>1086.9390000000001</v>
      </c>
      <c r="Q240" s="1810">
        <v>0</v>
      </c>
      <c r="R240" s="1466">
        <f t="shared" si="13"/>
        <v>1086.9390000000001</v>
      </c>
      <c r="S240" s="857">
        <v>0</v>
      </c>
      <c r="T240" s="993">
        <v>133.05600000000001</v>
      </c>
      <c r="U240" s="992">
        <v>0</v>
      </c>
      <c r="V240" s="992">
        <v>0</v>
      </c>
      <c r="W240" s="1297" t="s">
        <v>1803</v>
      </c>
      <c r="X240" s="553" t="s">
        <v>46</v>
      </c>
      <c r="Y240" s="775" t="s">
        <v>746</v>
      </c>
      <c r="Z240" s="774" t="s">
        <v>829</v>
      </c>
      <c r="AA240" s="774" t="s">
        <v>829</v>
      </c>
    </row>
    <row r="241" spans="1:27" s="467" customFormat="1" ht="38.25" x14ac:dyDescent="0.25">
      <c r="A241" s="185" t="s">
        <v>1036</v>
      </c>
      <c r="B241" s="116" t="s">
        <v>200</v>
      </c>
      <c r="C241" s="68">
        <v>2017</v>
      </c>
      <c r="D241" s="68" t="s">
        <v>996</v>
      </c>
      <c r="E241" s="69" t="s">
        <v>198</v>
      </c>
      <c r="F241" s="77" t="s">
        <v>198</v>
      </c>
      <c r="G241" s="162" t="s">
        <v>201</v>
      </c>
      <c r="H241" s="19">
        <v>1372.1410000000001</v>
      </c>
      <c r="I241" s="138">
        <v>42.35</v>
      </c>
      <c r="J241" s="1608">
        <v>1329.7910000000002</v>
      </c>
      <c r="K241" s="422">
        <v>1329.7909999999999</v>
      </c>
      <c r="L241" s="334">
        <v>0</v>
      </c>
      <c r="M241" s="305">
        <v>0</v>
      </c>
      <c r="N241" s="294">
        <v>0</v>
      </c>
      <c r="O241" s="109">
        <v>0</v>
      </c>
      <c r="P241" s="1808">
        <v>0</v>
      </c>
      <c r="Q241" s="493">
        <v>0</v>
      </c>
      <c r="R241" s="1719">
        <f t="shared" si="13"/>
        <v>0</v>
      </c>
      <c r="S241" s="20">
        <v>0</v>
      </c>
      <c r="T241" s="109">
        <v>0</v>
      </c>
      <c r="U241" s="21">
        <v>0</v>
      </c>
      <c r="V241" s="21">
        <v>0</v>
      </c>
      <c r="W241" s="115" t="s">
        <v>776</v>
      </c>
      <c r="X241" s="68" t="s">
        <v>866</v>
      </c>
      <c r="Y241" s="257" t="s">
        <v>25</v>
      </c>
      <c r="Z241" s="67" t="s">
        <v>829</v>
      </c>
      <c r="AA241" s="67" t="s">
        <v>1466</v>
      </c>
    </row>
    <row r="242" spans="1:27" s="429" customFormat="1" ht="38.25" customHeight="1" x14ac:dyDescent="0.25">
      <c r="A242" s="61" t="s">
        <v>1037</v>
      </c>
      <c r="B242" s="87" t="s">
        <v>202</v>
      </c>
      <c r="C242" s="5">
        <v>2017</v>
      </c>
      <c r="D242" s="5" t="s">
        <v>996</v>
      </c>
      <c r="E242" s="65" t="s">
        <v>203</v>
      </c>
      <c r="F242" s="66" t="s">
        <v>203</v>
      </c>
      <c r="G242" s="514" t="s">
        <v>204</v>
      </c>
      <c r="H242" s="14">
        <v>1300</v>
      </c>
      <c r="I242" s="63">
        <v>0</v>
      </c>
      <c r="J242" s="1610">
        <v>0</v>
      </c>
      <c r="K242" s="181">
        <v>0</v>
      </c>
      <c r="L242" s="1547">
        <v>0</v>
      </c>
      <c r="M242" s="274">
        <v>0</v>
      </c>
      <c r="N242" s="248">
        <v>0</v>
      </c>
      <c r="O242" s="30">
        <v>0</v>
      </c>
      <c r="P242" s="1806">
        <v>0</v>
      </c>
      <c r="Q242" s="1807">
        <v>0</v>
      </c>
      <c r="R242" s="1715">
        <f t="shared" si="13"/>
        <v>0</v>
      </c>
      <c r="S242" s="15">
        <v>0</v>
      </c>
      <c r="T242" s="30">
        <v>0</v>
      </c>
      <c r="U242" s="16">
        <v>1300</v>
      </c>
      <c r="V242" s="16">
        <v>0</v>
      </c>
      <c r="W242" s="53" t="s">
        <v>776</v>
      </c>
      <c r="X242" s="5" t="s">
        <v>20</v>
      </c>
      <c r="Y242" s="232" t="s">
        <v>881</v>
      </c>
      <c r="Z242" s="104" t="s">
        <v>828</v>
      </c>
      <c r="AA242" s="104" t="s">
        <v>828</v>
      </c>
    </row>
    <row r="243" spans="1:27" s="429" customFormat="1" ht="38.25" x14ac:dyDescent="0.25">
      <c r="A243" s="61" t="s">
        <v>1038</v>
      </c>
      <c r="B243" s="87" t="s">
        <v>206</v>
      </c>
      <c r="C243" s="5">
        <v>2017</v>
      </c>
      <c r="D243" s="5" t="s">
        <v>996</v>
      </c>
      <c r="E243" s="65" t="s">
        <v>12</v>
      </c>
      <c r="F243" s="66" t="s">
        <v>207</v>
      </c>
      <c r="G243" s="514" t="s">
        <v>208</v>
      </c>
      <c r="H243" s="14">
        <v>17756</v>
      </c>
      <c r="I243" s="14">
        <v>603.79</v>
      </c>
      <c r="J243" s="1610">
        <v>0</v>
      </c>
      <c r="K243" s="181">
        <v>0</v>
      </c>
      <c r="L243" s="1547">
        <v>0</v>
      </c>
      <c r="M243" s="274">
        <v>0</v>
      </c>
      <c r="N243" s="248">
        <v>0</v>
      </c>
      <c r="O243" s="30">
        <v>0</v>
      </c>
      <c r="P243" s="1747">
        <v>0</v>
      </c>
      <c r="Q243" s="488">
        <v>0</v>
      </c>
      <c r="R243" s="1715">
        <f t="shared" si="13"/>
        <v>0</v>
      </c>
      <c r="S243" s="15">
        <v>0</v>
      </c>
      <c r="T243" s="30">
        <v>0</v>
      </c>
      <c r="U243" s="16">
        <v>0</v>
      </c>
      <c r="V243" s="16">
        <v>17152.21</v>
      </c>
      <c r="W243" s="53" t="s">
        <v>978</v>
      </c>
      <c r="X243" s="5" t="s">
        <v>14</v>
      </c>
      <c r="Y243" s="232" t="s">
        <v>882</v>
      </c>
      <c r="Z243" s="104" t="s">
        <v>828</v>
      </c>
      <c r="AA243" s="104" t="s">
        <v>828</v>
      </c>
    </row>
    <row r="244" spans="1:27" s="429" customFormat="1" ht="28.5" customHeight="1" x14ac:dyDescent="0.25">
      <c r="A244" s="858" t="s">
        <v>1039</v>
      </c>
      <c r="B244" s="850" t="s">
        <v>209</v>
      </c>
      <c r="C244" s="553">
        <v>2017</v>
      </c>
      <c r="D244" s="553" t="s">
        <v>996</v>
      </c>
      <c r="E244" s="851" t="s">
        <v>12</v>
      </c>
      <c r="F244" s="802" t="s">
        <v>210</v>
      </c>
      <c r="G244" s="1284" t="s">
        <v>211</v>
      </c>
      <c r="H244" s="767">
        <v>88000</v>
      </c>
      <c r="I244" s="1145">
        <v>0</v>
      </c>
      <c r="J244" s="1145">
        <v>0</v>
      </c>
      <c r="K244" s="853">
        <v>0</v>
      </c>
      <c r="L244" s="1536">
        <v>0</v>
      </c>
      <c r="M244" s="991">
        <v>0</v>
      </c>
      <c r="N244" s="923">
        <v>0</v>
      </c>
      <c r="O244" s="993">
        <v>6630.8</v>
      </c>
      <c r="P244" s="770">
        <v>7000</v>
      </c>
      <c r="Q244" s="1810">
        <v>-369.2</v>
      </c>
      <c r="R244" s="1466">
        <f t="shared" si="13"/>
        <v>6630.8</v>
      </c>
      <c r="S244" s="857">
        <v>0</v>
      </c>
      <c r="T244" s="993">
        <v>0</v>
      </c>
      <c r="U244" s="992">
        <v>81369.2</v>
      </c>
      <c r="V244" s="773">
        <v>0</v>
      </c>
      <c r="W244" s="1298" t="s">
        <v>1804</v>
      </c>
      <c r="X244" s="553" t="s">
        <v>20</v>
      </c>
      <c r="Y244" s="775" t="s">
        <v>310</v>
      </c>
      <c r="Z244" s="774" t="s">
        <v>828</v>
      </c>
      <c r="AA244" s="774" t="s">
        <v>828</v>
      </c>
    </row>
    <row r="245" spans="1:27" s="464" customFormat="1" ht="28.5" customHeight="1" x14ac:dyDescent="0.25">
      <c r="A245" s="1299" t="s">
        <v>1040</v>
      </c>
      <c r="B245" s="557" t="s">
        <v>212</v>
      </c>
      <c r="C245" s="578">
        <v>2017</v>
      </c>
      <c r="D245" s="558" t="s">
        <v>996</v>
      </c>
      <c r="E245" s="559" t="s">
        <v>213</v>
      </c>
      <c r="F245" s="560" t="s">
        <v>213</v>
      </c>
      <c r="G245" s="561" t="s">
        <v>214</v>
      </c>
      <c r="H245" s="462">
        <v>4544.8600100000003</v>
      </c>
      <c r="I245" s="387">
        <v>291.61</v>
      </c>
      <c r="J245" s="1611">
        <v>4508.3899999999994</v>
      </c>
      <c r="K245" s="585">
        <v>4253.2500099999997</v>
      </c>
      <c r="L245" s="1548">
        <v>0</v>
      </c>
      <c r="M245" s="1019">
        <v>0</v>
      </c>
      <c r="N245" s="979">
        <v>0</v>
      </c>
      <c r="O245" s="980">
        <v>0</v>
      </c>
      <c r="P245" s="1811">
        <v>255.13099</v>
      </c>
      <c r="Q245" s="1457">
        <f>-1*P245</f>
        <v>-255.13099</v>
      </c>
      <c r="R245" s="1721">
        <f t="shared" si="13"/>
        <v>0</v>
      </c>
      <c r="S245" s="563">
        <v>0</v>
      </c>
      <c r="T245" s="566">
        <v>0</v>
      </c>
      <c r="U245" s="562">
        <v>0</v>
      </c>
      <c r="V245" s="577">
        <v>0</v>
      </c>
      <c r="W245" s="463" t="s">
        <v>1805</v>
      </c>
      <c r="X245" s="578" t="s">
        <v>866</v>
      </c>
      <c r="Y245" s="565" t="s">
        <v>562</v>
      </c>
      <c r="Z245" s="564" t="s">
        <v>829</v>
      </c>
      <c r="AA245" s="564" t="s">
        <v>829</v>
      </c>
    </row>
    <row r="246" spans="1:27" s="429" customFormat="1" ht="39" customHeight="1" x14ac:dyDescent="0.25">
      <c r="A246" s="858" t="s">
        <v>1041</v>
      </c>
      <c r="B246" s="850" t="s">
        <v>215</v>
      </c>
      <c r="C246" s="553">
        <v>2017</v>
      </c>
      <c r="D246" s="553" t="s">
        <v>996</v>
      </c>
      <c r="E246" s="851" t="s">
        <v>12</v>
      </c>
      <c r="F246" s="802" t="s">
        <v>216</v>
      </c>
      <c r="G246" s="1284" t="s">
        <v>217</v>
      </c>
      <c r="H246" s="767">
        <v>10000.39114</v>
      </c>
      <c r="I246" s="1145">
        <v>29.7</v>
      </c>
      <c r="J246" s="1145">
        <v>204.49</v>
      </c>
      <c r="K246" s="853">
        <v>44.379999999999995</v>
      </c>
      <c r="L246" s="1536">
        <f>194.81-29.7</f>
        <v>165.11</v>
      </c>
      <c r="M246" s="991">
        <v>0</v>
      </c>
      <c r="N246" s="923">
        <v>5000</v>
      </c>
      <c r="O246" s="993">
        <v>4761.2011400000001</v>
      </c>
      <c r="P246" s="1735">
        <f>9956.01114-29.7</f>
        <v>9926.3111399999998</v>
      </c>
      <c r="Q246" s="1810">
        <v>0</v>
      </c>
      <c r="R246" s="1466">
        <f t="shared" si="13"/>
        <v>9926.3111399999998</v>
      </c>
      <c r="S246" s="857">
        <v>0</v>
      </c>
      <c r="T246" s="993">
        <v>0</v>
      </c>
      <c r="U246" s="855">
        <v>0</v>
      </c>
      <c r="V246" s="855">
        <v>0</v>
      </c>
      <c r="W246" s="1298" t="s">
        <v>1851</v>
      </c>
      <c r="X246" s="553" t="s">
        <v>20</v>
      </c>
      <c r="Y246" s="775" t="s">
        <v>845</v>
      </c>
      <c r="Z246" s="774" t="s">
        <v>828</v>
      </c>
      <c r="AA246" s="774" t="s">
        <v>828</v>
      </c>
    </row>
    <row r="247" spans="1:27" s="467" customFormat="1" ht="25.5" x14ac:dyDescent="0.25">
      <c r="A247" s="185" t="s">
        <v>1042</v>
      </c>
      <c r="B247" s="116" t="s">
        <v>218</v>
      </c>
      <c r="C247" s="68">
        <v>2017</v>
      </c>
      <c r="D247" s="68" t="s">
        <v>996</v>
      </c>
      <c r="E247" s="69" t="s">
        <v>219</v>
      </c>
      <c r="F247" s="77" t="s">
        <v>219</v>
      </c>
      <c r="G247" s="162" t="s">
        <v>220</v>
      </c>
      <c r="H247" s="19">
        <v>7700</v>
      </c>
      <c r="I247" s="19">
        <v>223.85</v>
      </c>
      <c r="J247" s="1608">
        <v>7476.15</v>
      </c>
      <c r="K247" s="422">
        <v>7476.1500000000005</v>
      </c>
      <c r="L247" s="334">
        <v>0</v>
      </c>
      <c r="M247" s="305">
        <v>0</v>
      </c>
      <c r="N247" s="294">
        <v>0</v>
      </c>
      <c r="O247" s="109">
        <v>0</v>
      </c>
      <c r="P247" s="1749">
        <v>0</v>
      </c>
      <c r="Q247" s="487">
        <v>0</v>
      </c>
      <c r="R247" s="1719">
        <f t="shared" si="13"/>
        <v>0</v>
      </c>
      <c r="S247" s="20">
        <v>0</v>
      </c>
      <c r="T247" s="109">
        <v>0</v>
      </c>
      <c r="U247" s="21">
        <v>0</v>
      </c>
      <c r="V247" s="17">
        <v>0</v>
      </c>
      <c r="W247" s="115" t="s">
        <v>776</v>
      </c>
      <c r="X247" s="68" t="s">
        <v>866</v>
      </c>
      <c r="Y247" s="257" t="s">
        <v>650</v>
      </c>
      <c r="Z247" s="67" t="s">
        <v>829</v>
      </c>
      <c r="AA247" s="67" t="s">
        <v>829</v>
      </c>
    </row>
    <row r="248" spans="1:27" s="429" customFormat="1" ht="38.25" x14ac:dyDescent="0.25">
      <c r="A248" s="61" t="s">
        <v>1043</v>
      </c>
      <c r="B248" s="87" t="s">
        <v>221</v>
      </c>
      <c r="C248" s="5">
        <v>2018</v>
      </c>
      <c r="D248" s="5" t="s">
        <v>1005</v>
      </c>
      <c r="E248" s="65" t="s">
        <v>223</v>
      </c>
      <c r="F248" s="66" t="s">
        <v>223</v>
      </c>
      <c r="G248" s="514" t="s">
        <v>224</v>
      </c>
      <c r="H248" s="14">
        <v>5022</v>
      </c>
      <c r="I248" s="14">
        <v>0</v>
      </c>
      <c r="J248" s="1610">
        <v>0</v>
      </c>
      <c r="K248" s="181">
        <v>0</v>
      </c>
      <c r="L248" s="1547">
        <v>500</v>
      </c>
      <c r="M248" s="274">
        <v>4000</v>
      </c>
      <c r="N248" s="248"/>
      <c r="O248" s="30">
        <v>0</v>
      </c>
      <c r="P248" s="1747">
        <v>4500</v>
      </c>
      <c r="Q248" s="488">
        <v>0</v>
      </c>
      <c r="R248" s="1715">
        <f t="shared" si="13"/>
        <v>4500</v>
      </c>
      <c r="S248" s="15">
        <v>0</v>
      </c>
      <c r="T248" s="30">
        <v>522</v>
      </c>
      <c r="U248" s="16">
        <v>0</v>
      </c>
      <c r="V248" s="23">
        <v>0</v>
      </c>
      <c r="W248" s="53" t="s">
        <v>913</v>
      </c>
      <c r="X248" s="5" t="s">
        <v>20</v>
      </c>
      <c r="Y248" s="232" t="s">
        <v>883</v>
      </c>
      <c r="Z248" s="104" t="s">
        <v>828</v>
      </c>
      <c r="AA248" s="104" t="s">
        <v>828</v>
      </c>
    </row>
    <row r="249" spans="1:27" s="467" customFormat="1" ht="38.25" x14ac:dyDescent="0.25">
      <c r="A249" s="136" t="s">
        <v>1044</v>
      </c>
      <c r="B249" s="116" t="s">
        <v>226</v>
      </c>
      <c r="C249" s="68">
        <v>2018</v>
      </c>
      <c r="D249" s="68" t="s">
        <v>1005</v>
      </c>
      <c r="E249" s="69" t="s">
        <v>207</v>
      </c>
      <c r="F249" s="77" t="s">
        <v>207</v>
      </c>
      <c r="G249" s="162" t="s">
        <v>227</v>
      </c>
      <c r="H249" s="19">
        <v>5650.5428199999997</v>
      </c>
      <c r="I249" s="19">
        <v>0</v>
      </c>
      <c r="J249" s="1608">
        <v>5650.5428199999997</v>
      </c>
      <c r="K249" s="422">
        <v>5650.5428199999997</v>
      </c>
      <c r="L249" s="334">
        <v>0</v>
      </c>
      <c r="M249" s="305">
        <v>0</v>
      </c>
      <c r="N249" s="294">
        <v>0</v>
      </c>
      <c r="O249" s="109">
        <v>0</v>
      </c>
      <c r="P249" s="1749">
        <v>0</v>
      </c>
      <c r="Q249" s="487">
        <v>0</v>
      </c>
      <c r="R249" s="1722">
        <f t="shared" si="13"/>
        <v>0</v>
      </c>
      <c r="S249" s="20">
        <v>0</v>
      </c>
      <c r="T249" s="109">
        <v>0</v>
      </c>
      <c r="U249" s="21">
        <v>0</v>
      </c>
      <c r="V249" s="20">
        <v>0</v>
      </c>
      <c r="W249" s="115" t="s">
        <v>776</v>
      </c>
      <c r="X249" s="68" t="s">
        <v>866</v>
      </c>
      <c r="Y249" s="257" t="s">
        <v>767</v>
      </c>
      <c r="Z249" s="67" t="s">
        <v>829</v>
      </c>
      <c r="AA249" s="67" t="s">
        <v>829</v>
      </c>
    </row>
    <row r="250" spans="1:27" s="470" customFormat="1" ht="38.25" x14ac:dyDescent="0.25">
      <c r="A250" s="1300" t="s">
        <v>1045</v>
      </c>
      <c r="B250" s="893" t="s">
        <v>228</v>
      </c>
      <c r="C250" s="580">
        <v>2018</v>
      </c>
      <c r="D250" s="580" t="s">
        <v>1005</v>
      </c>
      <c r="E250" s="895" t="s">
        <v>229</v>
      </c>
      <c r="F250" s="925" t="s">
        <v>229</v>
      </c>
      <c r="G250" s="1301" t="s">
        <v>230</v>
      </c>
      <c r="H250" s="783">
        <v>3748.4174800000001</v>
      </c>
      <c r="I250" s="1462">
        <v>0</v>
      </c>
      <c r="J250" s="1462">
        <v>150</v>
      </c>
      <c r="K250" s="1118">
        <v>0</v>
      </c>
      <c r="L250" s="1537">
        <v>150</v>
      </c>
      <c r="M250" s="1005">
        <v>0</v>
      </c>
      <c r="N250" s="1006">
        <v>2500</v>
      </c>
      <c r="O250" s="1009">
        <v>1098.4174800000001</v>
      </c>
      <c r="P250" s="1812">
        <v>2500</v>
      </c>
      <c r="Q250" s="1813">
        <v>1248.4174800000001</v>
      </c>
      <c r="R250" s="1726">
        <f t="shared" si="13"/>
        <v>3748.4174800000001</v>
      </c>
      <c r="S250" s="1215">
        <v>0</v>
      </c>
      <c r="T250" s="1009">
        <v>0</v>
      </c>
      <c r="U250" s="900">
        <v>0</v>
      </c>
      <c r="V250" s="788">
        <v>0</v>
      </c>
      <c r="W250" s="838" t="s">
        <v>1806</v>
      </c>
      <c r="X250" s="580" t="s">
        <v>20</v>
      </c>
      <c r="Y250" s="792" t="s">
        <v>883</v>
      </c>
      <c r="Z250" s="791" t="s">
        <v>828</v>
      </c>
      <c r="AA250" s="791" t="s">
        <v>828</v>
      </c>
    </row>
    <row r="251" spans="1:27" s="464" customFormat="1" ht="31.5" customHeight="1" x14ac:dyDescent="0.25">
      <c r="A251" s="1302" t="s">
        <v>1046</v>
      </c>
      <c r="B251" s="1303" t="s">
        <v>231</v>
      </c>
      <c r="C251" s="1304">
        <v>2018</v>
      </c>
      <c r="D251" s="1304" t="s">
        <v>1005</v>
      </c>
      <c r="E251" s="1305" t="s">
        <v>12</v>
      </c>
      <c r="F251" s="1306" t="s">
        <v>232</v>
      </c>
      <c r="G251" s="1307" t="s">
        <v>233</v>
      </c>
      <c r="H251" s="1308">
        <v>13883.616739999999</v>
      </c>
      <c r="I251" s="1463">
        <v>0</v>
      </c>
      <c r="J251" s="1463">
        <v>13900</v>
      </c>
      <c r="K251" s="1464">
        <v>13883.616739999999</v>
      </c>
      <c r="L251" s="1549">
        <v>0</v>
      </c>
      <c r="M251" s="1309">
        <v>0</v>
      </c>
      <c r="N251" s="1310">
        <v>0</v>
      </c>
      <c r="O251" s="1311">
        <v>0</v>
      </c>
      <c r="P251" s="1814">
        <v>16.38326</v>
      </c>
      <c r="Q251" s="1815">
        <f>-1*P251</f>
        <v>-16.38326</v>
      </c>
      <c r="R251" s="1734">
        <f t="shared" si="13"/>
        <v>0</v>
      </c>
      <c r="S251" s="1312">
        <v>0</v>
      </c>
      <c r="T251" s="1311">
        <v>0</v>
      </c>
      <c r="U251" s="1313">
        <v>0</v>
      </c>
      <c r="V251" s="1314">
        <v>0</v>
      </c>
      <c r="W251" s="1470" t="s">
        <v>1807</v>
      </c>
      <c r="X251" s="1304" t="s">
        <v>866</v>
      </c>
      <c r="Y251" s="1316" t="s">
        <v>305</v>
      </c>
      <c r="Z251" s="1315" t="s">
        <v>829</v>
      </c>
      <c r="AA251" s="1315" t="s">
        <v>829</v>
      </c>
    </row>
    <row r="252" spans="1:27" s="429" customFormat="1" ht="38.25" x14ac:dyDescent="0.25">
      <c r="A252" s="61" t="s">
        <v>1047</v>
      </c>
      <c r="B252" s="87" t="s">
        <v>235</v>
      </c>
      <c r="C252" s="5">
        <v>2018</v>
      </c>
      <c r="D252" s="5" t="s">
        <v>234</v>
      </c>
      <c r="E252" s="65" t="s">
        <v>223</v>
      </c>
      <c r="F252" s="66" t="s">
        <v>223</v>
      </c>
      <c r="G252" s="514" t="s">
        <v>236</v>
      </c>
      <c r="H252" s="14">
        <v>6900</v>
      </c>
      <c r="I252" s="14">
        <v>0</v>
      </c>
      <c r="J252" s="1610">
        <v>0</v>
      </c>
      <c r="K252" s="181">
        <v>0</v>
      </c>
      <c r="L252" s="1547">
        <v>500</v>
      </c>
      <c r="M252" s="274">
        <v>0</v>
      </c>
      <c r="N252" s="248">
        <v>0</v>
      </c>
      <c r="O252" s="30">
        <v>0</v>
      </c>
      <c r="P252" s="1747">
        <v>500</v>
      </c>
      <c r="Q252" s="488">
        <v>0</v>
      </c>
      <c r="R252" s="1715">
        <f t="shared" si="13"/>
        <v>500</v>
      </c>
      <c r="S252" s="15">
        <v>0</v>
      </c>
      <c r="T252" s="30">
        <v>0</v>
      </c>
      <c r="U252" s="16">
        <v>0</v>
      </c>
      <c r="V252" s="23">
        <v>6400</v>
      </c>
      <c r="W252" s="53" t="s">
        <v>914</v>
      </c>
      <c r="X252" s="5" t="s">
        <v>20</v>
      </c>
      <c r="Y252" s="232" t="s">
        <v>980</v>
      </c>
      <c r="Z252" s="104" t="s">
        <v>828</v>
      </c>
      <c r="AA252" s="104" t="s">
        <v>828</v>
      </c>
    </row>
    <row r="253" spans="1:27" s="429" customFormat="1" ht="38.25" x14ac:dyDescent="0.25">
      <c r="A253" s="61" t="s">
        <v>1048</v>
      </c>
      <c r="B253" s="87" t="s">
        <v>237</v>
      </c>
      <c r="C253" s="5">
        <v>2018</v>
      </c>
      <c r="D253" s="5" t="s">
        <v>234</v>
      </c>
      <c r="E253" s="65" t="s">
        <v>12</v>
      </c>
      <c r="F253" s="66" t="s">
        <v>238</v>
      </c>
      <c r="G253" s="514" t="s">
        <v>239</v>
      </c>
      <c r="H253" s="14">
        <v>69060</v>
      </c>
      <c r="I253" s="14">
        <v>111.8</v>
      </c>
      <c r="J253" s="1610">
        <v>0</v>
      </c>
      <c r="K253" s="181">
        <v>0</v>
      </c>
      <c r="L253" s="1547">
        <v>0</v>
      </c>
      <c r="M253" s="274">
        <v>0</v>
      </c>
      <c r="N253" s="248">
        <v>0</v>
      </c>
      <c r="O253" s="30">
        <v>0</v>
      </c>
      <c r="P253" s="1747">
        <v>0</v>
      </c>
      <c r="Q253" s="488">
        <v>0</v>
      </c>
      <c r="R253" s="1715">
        <f t="shared" si="13"/>
        <v>0</v>
      </c>
      <c r="S253" s="15">
        <v>0</v>
      </c>
      <c r="T253" s="30">
        <v>0</v>
      </c>
      <c r="U253" s="16">
        <v>0</v>
      </c>
      <c r="V253" s="16">
        <v>68948.2</v>
      </c>
      <c r="W253" s="53" t="s">
        <v>915</v>
      </c>
      <c r="X253" s="5" t="s">
        <v>14</v>
      </c>
      <c r="Y253" s="232" t="s">
        <v>882</v>
      </c>
      <c r="Z253" s="104" t="s">
        <v>828</v>
      </c>
      <c r="AA253" s="104" t="s">
        <v>828</v>
      </c>
    </row>
    <row r="254" spans="1:27" s="470" customFormat="1" ht="30" x14ac:dyDescent="0.25">
      <c r="A254" s="61" t="s">
        <v>1049</v>
      </c>
      <c r="B254" s="87" t="s">
        <v>240</v>
      </c>
      <c r="C254" s="5">
        <v>2018</v>
      </c>
      <c r="D254" s="5" t="s">
        <v>234</v>
      </c>
      <c r="E254" s="65" t="s">
        <v>241</v>
      </c>
      <c r="F254" s="66" t="s">
        <v>241</v>
      </c>
      <c r="G254" s="514" t="s">
        <v>242</v>
      </c>
      <c r="H254" s="14">
        <v>999.76</v>
      </c>
      <c r="I254" s="14">
        <v>48.4</v>
      </c>
      <c r="J254" s="1610">
        <v>0</v>
      </c>
      <c r="K254" s="181">
        <v>0</v>
      </c>
      <c r="L254" s="1547">
        <v>0</v>
      </c>
      <c r="M254" s="274">
        <v>0</v>
      </c>
      <c r="N254" s="248">
        <v>698.36</v>
      </c>
      <c r="O254" s="30">
        <v>0</v>
      </c>
      <c r="P254" s="1747">
        <v>698.36</v>
      </c>
      <c r="Q254" s="488">
        <v>0</v>
      </c>
      <c r="R254" s="1715">
        <f t="shared" si="13"/>
        <v>698.36</v>
      </c>
      <c r="S254" s="15">
        <v>253</v>
      </c>
      <c r="T254" s="30">
        <v>0</v>
      </c>
      <c r="U254" s="16">
        <v>0</v>
      </c>
      <c r="V254" s="23">
        <v>0</v>
      </c>
      <c r="W254" s="53" t="s">
        <v>702</v>
      </c>
      <c r="X254" s="5" t="s">
        <v>20</v>
      </c>
      <c r="Y254" s="232" t="s">
        <v>880</v>
      </c>
      <c r="Z254" s="104" t="s">
        <v>828</v>
      </c>
      <c r="AA254" s="104" t="s">
        <v>828</v>
      </c>
    </row>
    <row r="255" spans="1:27" s="467" customFormat="1" ht="38.25" x14ac:dyDescent="0.25">
      <c r="A255" s="185" t="s">
        <v>1050</v>
      </c>
      <c r="B255" s="116" t="s">
        <v>243</v>
      </c>
      <c r="C255" s="68">
        <v>2018</v>
      </c>
      <c r="D255" s="68" t="s">
        <v>234</v>
      </c>
      <c r="E255" s="69" t="s">
        <v>244</v>
      </c>
      <c r="F255" s="77" t="s">
        <v>244</v>
      </c>
      <c r="G255" s="162" t="s">
        <v>245</v>
      </c>
      <c r="H255" s="19">
        <v>180.35824</v>
      </c>
      <c r="I255" s="138">
        <v>0</v>
      </c>
      <c r="J255" s="1608">
        <v>180.358</v>
      </c>
      <c r="K255" s="422">
        <v>180.35824</v>
      </c>
      <c r="L255" s="334">
        <v>0</v>
      </c>
      <c r="M255" s="305">
        <v>0</v>
      </c>
      <c r="N255" s="294">
        <v>0</v>
      </c>
      <c r="O255" s="109">
        <v>0</v>
      </c>
      <c r="P255" s="1808">
        <v>0</v>
      </c>
      <c r="Q255" s="493">
        <v>0</v>
      </c>
      <c r="R255" s="1719">
        <f t="shared" si="13"/>
        <v>0</v>
      </c>
      <c r="S255" s="20">
        <v>0</v>
      </c>
      <c r="T255" s="109">
        <v>0</v>
      </c>
      <c r="U255" s="21">
        <v>0</v>
      </c>
      <c r="V255" s="17">
        <v>0</v>
      </c>
      <c r="W255" s="115" t="s">
        <v>776</v>
      </c>
      <c r="X255" s="68" t="s">
        <v>866</v>
      </c>
      <c r="Y255" s="257" t="s">
        <v>767</v>
      </c>
      <c r="Z255" s="67" t="s">
        <v>829</v>
      </c>
      <c r="AA255" s="67" t="s">
        <v>829</v>
      </c>
    </row>
    <row r="256" spans="1:27" s="429" customFormat="1" ht="25.5" x14ac:dyDescent="0.25">
      <c r="A256" s="858" t="s">
        <v>1051</v>
      </c>
      <c r="B256" s="850" t="s">
        <v>246</v>
      </c>
      <c r="C256" s="553">
        <v>2018</v>
      </c>
      <c r="D256" s="553" t="s">
        <v>234</v>
      </c>
      <c r="E256" s="851" t="s">
        <v>12</v>
      </c>
      <c r="F256" s="802" t="s">
        <v>247</v>
      </c>
      <c r="G256" s="1284" t="s">
        <v>248</v>
      </c>
      <c r="H256" s="767">
        <v>35544.959999999999</v>
      </c>
      <c r="I256" s="1612">
        <v>0</v>
      </c>
      <c r="J256" s="1909">
        <v>1554.0029999999999</v>
      </c>
      <c r="K256" s="853">
        <v>1647.6570000000002</v>
      </c>
      <c r="L256" s="854">
        <v>258.41969999999998</v>
      </c>
      <c r="M256" s="923">
        <v>0</v>
      </c>
      <c r="N256" s="923">
        <v>0</v>
      </c>
      <c r="O256" s="993">
        <v>0</v>
      </c>
      <c r="P256" s="1735">
        <f>93.654-93.654</f>
        <v>0</v>
      </c>
      <c r="Q256" s="1816">
        <v>258.41969999999998</v>
      </c>
      <c r="R256" s="1735">
        <f t="shared" si="13"/>
        <v>258.41969999999998</v>
      </c>
      <c r="S256" s="857">
        <v>0</v>
      </c>
      <c r="T256" s="993">
        <v>0</v>
      </c>
      <c r="U256" s="855">
        <f>33732.5373-93.654</f>
        <v>33638.883300000001</v>
      </c>
      <c r="V256" s="773">
        <v>0</v>
      </c>
      <c r="W256" s="1298" t="s">
        <v>1808</v>
      </c>
      <c r="X256" s="553" t="s">
        <v>20</v>
      </c>
      <c r="Y256" s="775" t="s">
        <v>722</v>
      </c>
      <c r="Z256" s="774" t="s">
        <v>828</v>
      </c>
      <c r="AA256" s="774" t="s">
        <v>828</v>
      </c>
    </row>
    <row r="257" spans="1:27" s="429" customFormat="1" ht="25.5" x14ac:dyDescent="0.25">
      <c r="A257" s="1317" t="s">
        <v>1052</v>
      </c>
      <c r="B257" s="1288" t="s">
        <v>249</v>
      </c>
      <c r="C257" s="1289">
        <v>2018</v>
      </c>
      <c r="D257" s="237" t="s">
        <v>234</v>
      </c>
      <c r="E257" s="341" t="s">
        <v>250</v>
      </c>
      <c r="F257" s="1450" t="s">
        <v>250</v>
      </c>
      <c r="G257" s="1290" t="s">
        <v>251</v>
      </c>
      <c r="H257" s="238">
        <v>950</v>
      </c>
      <c r="I257" s="283">
        <v>0</v>
      </c>
      <c r="J257" s="1613">
        <v>0</v>
      </c>
      <c r="K257" s="181">
        <v>0</v>
      </c>
      <c r="L257" s="1550">
        <v>0</v>
      </c>
      <c r="M257" s="1318">
        <v>0</v>
      </c>
      <c r="N257" s="248">
        <v>950</v>
      </c>
      <c r="O257" s="1292">
        <v>0</v>
      </c>
      <c r="P257" s="1806">
        <v>950</v>
      </c>
      <c r="Q257" s="1817">
        <v>0</v>
      </c>
      <c r="R257" s="1715">
        <f t="shared" si="13"/>
        <v>950</v>
      </c>
      <c r="S257" s="1291">
        <v>0</v>
      </c>
      <c r="T257" s="1292">
        <v>0</v>
      </c>
      <c r="U257" s="239">
        <v>0</v>
      </c>
      <c r="V257" s="1319">
        <v>0</v>
      </c>
      <c r="W257" s="240" t="s">
        <v>776</v>
      </c>
      <c r="X257" s="237" t="s">
        <v>20</v>
      </c>
      <c r="Y257" s="292" t="s">
        <v>925</v>
      </c>
      <c r="Z257" s="281" t="s">
        <v>828</v>
      </c>
      <c r="AA257" s="281" t="s">
        <v>828</v>
      </c>
    </row>
    <row r="258" spans="1:27" s="429" customFormat="1" ht="25.5" x14ac:dyDescent="0.25">
      <c r="A258" s="61" t="s">
        <v>1053</v>
      </c>
      <c r="B258" s="87" t="s">
        <v>982</v>
      </c>
      <c r="C258" s="5">
        <v>2018</v>
      </c>
      <c r="D258" s="5" t="s">
        <v>234</v>
      </c>
      <c r="E258" s="65" t="s">
        <v>252</v>
      </c>
      <c r="F258" s="66" t="s">
        <v>252</v>
      </c>
      <c r="G258" s="514" t="s">
        <v>253</v>
      </c>
      <c r="H258" s="14">
        <v>2371</v>
      </c>
      <c r="I258" s="63">
        <v>0</v>
      </c>
      <c r="J258" s="1610">
        <v>0</v>
      </c>
      <c r="K258" s="181">
        <v>0</v>
      </c>
      <c r="L258" s="1547">
        <v>0</v>
      </c>
      <c r="M258" s="274">
        <v>500</v>
      </c>
      <c r="N258" s="248">
        <v>871</v>
      </c>
      <c r="O258" s="30">
        <v>0</v>
      </c>
      <c r="P258" s="1806">
        <v>1371</v>
      </c>
      <c r="Q258" s="1807">
        <v>0</v>
      </c>
      <c r="R258" s="1715">
        <f t="shared" si="13"/>
        <v>1371</v>
      </c>
      <c r="S258" s="15">
        <v>0</v>
      </c>
      <c r="T258" s="30">
        <v>1000</v>
      </c>
      <c r="U258" s="41">
        <v>0</v>
      </c>
      <c r="V258" s="23">
        <v>0</v>
      </c>
      <c r="W258" s="53" t="s">
        <v>1223</v>
      </c>
      <c r="X258" s="5" t="s">
        <v>20</v>
      </c>
      <c r="Y258" s="232" t="s">
        <v>883</v>
      </c>
      <c r="Z258" s="104" t="s">
        <v>828</v>
      </c>
      <c r="AA258" s="104" t="s">
        <v>828</v>
      </c>
    </row>
    <row r="259" spans="1:27" s="429" customFormat="1" ht="38.25" x14ac:dyDescent="0.25">
      <c r="A259" s="61" t="s">
        <v>1054</v>
      </c>
      <c r="B259" s="87" t="s">
        <v>254</v>
      </c>
      <c r="C259" s="5">
        <v>2018</v>
      </c>
      <c r="D259" s="5" t="s">
        <v>234</v>
      </c>
      <c r="E259" s="62" t="s">
        <v>1016</v>
      </c>
      <c r="F259" s="425" t="s">
        <v>1016</v>
      </c>
      <c r="G259" s="614" t="s">
        <v>255</v>
      </c>
      <c r="H259" s="6">
        <v>4200</v>
      </c>
      <c r="I259" s="415">
        <v>0</v>
      </c>
      <c r="J259" s="1610">
        <v>0</v>
      </c>
      <c r="K259" s="181">
        <v>0</v>
      </c>
      <c r="L259" s="1547">
        <v>0</v>
      </c>
      <c r="M259" s="274">
        <v>0</v>
      </c>
      <c r="N259" s="660">
        <v>0</v>
      </c>
      <c r="O259" s="423">
        <v>0</v>
      </c>
      <c r="P259" s="1818">
        <v>0</v>
      </c>
      <c r="Q259" s="1819">
        <v>0</v>
      </c>
      <c r="R259" s="1715">
        <f t="shared" si="13"/>
        <v>0</v>
      </c>
      <c r="S259" s="15">
        <v>0</v>
      </c>
      <c r="T259" s="412">
        <v>0</v>
      </c>
      <c r="U259" s="184">
        <v>4200</v>
      </c>
      <c r="V259" s="23">
        <v>0</v>
      </c>
      <c r="W259" s="53" t="s">
        <v>983</v>
      </c>
      <c r="X259" s="5" t="s">
        <v>20</v>
      </c>
      <c r="Y259" s="232" t="s">
        <v>980</v>
      </c>
      <c r="Z259" s="104" t="s">
        <v>828</v>
      </c>
      <c r="AA259" s="104" t="s">
        <v>828</v>
      </c>
    </row>
    <row r="260" spans="1:27" s="464" customFormat="1" ht="25.5" x14ac:dyDescent="0.25">
      <c r="A260" s="136" t="s">
        <v>1055</v>
      </c>
      <c r="B260" s="116" t="s">
        <v>256</v>
      </c>
      <c r="C260" s="68">
        <v>2018</v>
      </c>
      <c r="D260" s="68" t="s">
        <v>257</v>
      </c>
      <c r="E260" s="69" t="s">
        <v>258</v>
      </c>
      <c r="F260" s="77" t="s">
        <v>258</v>
      </c>
      <c r="G260" s="163" t="s">
        <v>259</v>
      </c>
      <c r="H260" s="19">
        <v>6062.57</v>
      </c>
      <c r="I260" s="138">
        <v>0</v>
      </c>
      <c r="J260" s="1608">
        <v>262.57</v>
      </c>
      <c r="K260" s="422">
        <v>262.57</v>
      </c>
      <c r="L260" s="334">
        <v>0</v>
      </c>
      <c r="M260" s="305">
        <v>0</v>
      </c>
      <c r="N260" s="294">
        <v>0</v>
      </c>
      <c r="O260" s="109">
        <v>0</v>
      </c>
      <c r="P260" s="1808">
        <v>0</v>
      </c>
      <c r="Q260" s="493">
        <v>0</v>
      </c>
      <c r="R260" s="1722">
        <f t="shared" si="13"/>
        <v>0</v>
      </c>
      <c r="S260" s="20">
        <v>3100</v>
      </c>
      <c r="T260" s="109">
        <v>2700</v>
      </c>
      <c r="U260" s="110">
        <v>0</v>
      </c>
      <c r="V260" s="20">
        <v>0</v>
      </c>
      <c r="W260" s="115" t="s">
        <v>1496</v>
      </c>
      <c r="X260" s="68" t="s">
        <v>866</v>
      </c>
      <c r="Y260" s="257" t="s">
        <v>883</v>
      </c>
      <c r="Z260" s="67" t="s">
        <v>829</v>
      </c>
      <c r="AA260" s="67" t="s">
        <v>828</v>
      </c>
    </row>
    <row r="261" spans="1:27" s="429" customFormat="1" ht="38.25" x14ac:dyDescent="0.25">
      <c r="A261" s="61" t="s">
        <v>1056</v>
      </c>
      <c r="B261" s="87" t="s">
        <v>260</v>
      </c>
      <c r="C261" s="5">
        <v>2018</v>
      </c>
      <c r="D261" s="5" t="s">
        <v>257</v>
      </c>
      <c r="E261" s="62" t="s">
        <v>261</v>
      </c>
      <c r="F261" s="425" t="s">
        <v>261</v>
      </c>
      <c r="G261" s="158" t="s">
        <v>262</v>
      </c>
      <c r="H261" s="14">
        <v>4200</v>
      </c>
      <c r="I261" s="63">
        <v>120</v>
      </c>
      <c r="J261" s="1610">
        <v>50</v>
      </c>
      <c r="K261" s="181">
        <v>50</v>
      </c>
      <c r="L261" s="1547">
        <v>0</v>
      </c>
      <c r="M261" s="274">
        <v>0</v>
      </c>
      <c r="N261" s="248">
        <v>0</v>
      </c>
      <c r="O261" s="30">
        <v>0</v>
      </c>
      <c r="P261" s="1806">
        <v>0</v>
      </c>
      <c r="Q261" s="1807">
        <v>0</v>
      </c>
      <c r="R261" s="1715">
        <f t="shared" si="13"/>
        <v>0</v>
      </c>
      <c r="S261" s="15">
        <v>0</v>
      </c>
      <c r="T261" s="30">
        <v>0</v>
      </c>
      <c r="U261" s="41">
        <v>0</v>
      </c>
      <c r="V261" s="23">
        <v>4030</v>
      </c>
      <c r="W261" s="53" t="s">
        <v>917</v>
      </c>
      <c r="X261" s="5" t="s">
        <v>20</v>
      </c>
      <c r="Y261" s="232" t="s">
        <v>882</v>
      </c>
      <c r="Z261" s="104" t="s">
        <v>828</v>
      </c>
      <c r="AA261" s="104" t="s">
        <v>828</v>
      </c>
    </row>
    <row r="262" spans="1:27" s="467" customFormat="1" ht="25.5" x14ac:dyDescent="0.25">
      <c r="A262" s="615" t="s">
        <v>1057</v>
      </c>
      <c r="B262" s="616" t="s">
        <v>565</v>
      </c>
      <c r="C262" s="68">
        <v>2018</v>
      </c>
      <c r="D262" s="617" t="s">
        <v>795</v>
      </c>
      <c r="E262" s="617" t="s">
        <v>266</v>
      </c>
      <c r="F262" s="617" t="s">
        <v>266</v>
      </c>
      <c r="G262" s="618" t="s">
        <v>267</v>
      </c>
      <c r="H262" s="619">
        <v>714.23400000000004</v>
      </c>
      <c r="I262" s="619">
        <v>0</v>
      </c>
      <c r="J262" s="1608">
        <v>714.23400000000004</v>
      </c>
      <c r="K262" s="422">
        <v>714.23400000000004</v>
      </c>
      <c r="L262" s="334">
        <v>0</v>
      </c>
      <c r="M262" s="305">
        <v>0</v>
      </c>
      <c r="N262" s="294">
        <v>0</v>
      </c>
      <c r="O262" s="109">
        <v>0</v>
      </c>
      <c r="P262" s="1749">
        <v>0</v>
      </c>
      <c r="Q262" s="487">
        <v>0</v>
      </c>
      <c r="R262" s="1719">
        <f t="shared" si="13"/>
        <v>0</v>
      </c>
      <c r="S262" s="20">
        <v>0</v>
      </c>
      <c r="T262" s="109">
        <v>0</v>
      </c>
      <c r="U262" s="21">
        <v>0</v>
      </c>
      <c r="V262" s="17">
        <v>0</v>
      </c>
      <c r="W262" s="115" t="s">
        <v>776</v>
      </c>
      <c r="X262" s="68" t="s">
        <v>866</v>
      </c>
      <c r="Y262" s="257" t="s">
        <v>649</v>
      </c>
      <c r="Z262" s="67" t="s">
        <v>776</v>
      </c>
      <c r="AA262" s="67" t="s">
        <v>776</v>
      </c>
    </row>
    <row r="263" spans="1:27" s="467" customFormat="1" ht="25.5" x14ac:dyDescent="0.25">
      <c r="A263" s="615" t="s">
        <v>1058</v>
      </c>
      <c r="B263" s="616" t="s">
        <v>566</v>
      </c>
      <c r="C263" s="68">
        <v>2018</v>
      </c>
      <c r="D263" s="617" t="s">
        <v>796</v>
      </c>
      <c r="E263" s="617" t="s">
        <v>266</v>
      </c>
      <c r="F263" s="617" t="s">
        <v>266</v>
      </c>
      <c r="G263" s="618" t="s">
        <v>268</v>
      </c>
      <c r="H263" s="619">
        <v>654.97299999999996</v>
      </c>
      <c r="I263" s="619">
        <v>0</v>
      </c>
      <c r="J263" s="1608">
        <v>654.97299999999996</v>
      </c>
      <c r="K263" s="422">
        <v>654.97299999999996</v>
      </c>
      <c r="L263" s="334">
        <v>0</v>
      </c>
      <c r="M263" s="305">
        <v>0</v>
      </c>
      <c r="N263" s="294">
        <v>0</v>
      </c>
      <c r="O263" s="109">
        <v>0</v>
      </c>
      <c r="P263" s="1749">
        <v>0</v>
      </c>
      <c r="Q263" s="487">
        <v>0</v>
      </c>
      <c r="R263" s="1719">
        <f t="shared" si="13"/>
        <v>0</v>
      </c>
      <c r="S263" s="20">
        <v>0</v>
      </c>
      <c r="T263" s="109">
        <v>0</v>
      </c>
      <c r="U263" s="21">
        <v>0</v>
      </c>
      <c r="V263" s="17">
        <v>0</v>
      </c>
      <c r="W263" s="115" t="s">
        <v>776</v>
      </c>
      <c r="X263" s="68" t="s">
        <v>866</v>
      </c>
      <c r="Y263" s="257" t="s">
        <v>649</v>
      </c>
      <c r="Z263" s="67" t="s">
        <v>776</v>
      </c>
      <c r="AA263" s="67" t="s">
        <v>776</v>
      </c>
    </row>
    <row r="264" spans="1:27" s="464" customFormat="1" ht="29.25" customHeight="1" x14ac:dyDescent="0.25">
      <c r="A264" s="1249" t="s">
        <v>1059</v>
      </c>
      <c r="B264" s="533" t="s">
        <v>567</v>
      </c>
      <c r="C264" s="461">
        <v>2018</v>
      </c>
      <c r="D264" s="579" t="s">
        <v>102</v>
      </c>
      <c r="E264" s="1252" t="s">
        <v>266</v>
      </c>
      <c r="F264" s="1252" t="s">
        <v>266</v>
      </c>
      <c r="G264" s="1241" t="s">
        <v>269</v>
      </c>
      <c r="H264" s="462">
        <f>4959.87667</f>
        <v>4959.8766699999996</v>
      </c>
      <c r="I264" s="462">
        <v>0</v>
      </c>
      <c r="J264" s="1611">
        <v>5182.8766699999996</v>
      </c>
      <c r="K264" s="585">
        <v>4959.8766699999996</v>
      </c>
      <c r="L264" s="1548">
        <v>0</v>
      </c>
      <c r="M264" s="1019">
        <v>0</v>
      </c>
      <c r="N264" s="979">
        <v>0</v>
      </c>
      <c r="O264" s="980">
        <v>0</v>
      </c>
      <c r="P264" s="1811">
        <v>223</v>
      </c>
      <c r="Q264" s="1809">
        <f>-1*P264</f>
        <v>-223</v>
      </c>
      <c r="R264" s="1721">
        <f t="shared" si="13"/>
        <v>0</v>
      </c>
      <c r="S264" s="735">
        <v>0</v>
      </c>
      <c r="T264" s="980">
        <v>0</v>
      </c>
      <c r="U264" s="732">
        <v>0</v>
      </c>
      <c r="V264" s="540">
        <v>0</v>
      </c>
      <c r="W264" s="463" t="s">
        <v>1809</v>
      </c>
      <c r="X264" s="461" t="s">
        <v>866</v>
      </c>
      <c r="Y264" s="799" t="s">
        <v>562</v>
      </c>
      <c r="Z264" s="798" t="s">
        <v>829</v>
      </c>
      <c r="AA264" s="798" t="s">
        <v>829</v>
      </c>
    </row>
    <row r="265" spans="1:27" s="464" customFormat="1" ht="29.25" customHeight="1" x14ac:dyDescent="0.25">
      <c r="A265" s="1249" t="s">
        <v>1060</v>
      </c>
      <c r="B265" s="533" t="s">
        <v>568</v>
      </c>
      <c r="C265" s="461">
        <v>2018</v>
      </c>
      <c r="D265" s="579" t="s">
        <v>102</v>
      </c>
      <c r="E265" s="1252" t="s">
        <v>270</v>
      </c>
      <c r="F265" s="800" t="s">
        <v>238</v>
      </c>
      <c r="G265" s="1241" t="s">
        <v>271</v>
      </c>
      <c r="H265" s="462">
        <v>798.12699999999995</v>
      </c>
      <c r="I265" s="462">
        <v>0</v>
      </c>
      <c r="J265" s="1611">
        <v>1010</v>
      </c>
      <c r="K265" s="585">
        <v>798.12699999999995</v>
      </c>
      <c r="L265" s="1548">
        <v>0</v>
      </c>
      <c r="M265" s="1019">
        <v>0</v>
      </c>
      <c r="N265" s="979">
        <v>0</v>
      </c>
      <c r="O265" s="980">
        <v>0</v>
      </c>
      <c r="P265" s="1811">
        <v>211.87299999999999</v>
      </c>
      <c r="Q265" s="1809">
        <f>-1*P265</f>
        <v>-211.87299999999999</v>
      </c>
      <c r="R265" s="1721">
        <f t="shared" si="13"/>
        <v>0</v>
      </c>
      <c r="S265" s="735">
        <v>0</v>
      </c>
      <c r="T265" s="980">
        <v>0</v>
      </c>
      <c r="U265" s="732">
        <v>0</v>
      </c>
      <c r="V265" s="540">
        <v>0</v>
      </c>
      <c r="W265" s="463" t="s">
        <v>1810</v>
      </c>
      <c r="X265" s="461" t="s">
        <v>866</v>
      </c>
      <c r="Y265" s="799" t="s">
        <v>305</v>
      </c>
      <c r="Z265" s="798" t="s">
        <v>828</v>
      </c>
      <c r="AA265" s="798" t="s">
        <v>828</v>
      </c>
    </row>
    <row r="266" spans="1:27" s="429" customFormat="1" ht="30" x14ac:dyDescent="0.25">
      <c r="A266" s="1317" t="s">
        <v>1061</v>
      </c>
      <c r="B266" s="1288" t="s">
        <v>569</v>
      </c>
      <c r="C266" s="1289">
        <v>2018</v>
      </c>
      <c r="D266" s="1320" t="s">
        <v>102</v>
      </c>
      <c r="E266" s="340" t="s">
        <v>272</v>
      </c>
      <c r="F266" s="1451" t="s">
        <v>272</v>
      </c>
      <c r="G266" s="1321" t="s">
        <v>273</v>
      </c>
      <c r="H266" s="238">
        <v>6500</v>
      </c>
      <c r="I266" s="283">
        <v>0</v>
      </c>
      <c r="J266" s="1610">
        <v>0</v>
      </c>
      <c r="K266" s="181">
        <v>0</v>
      </c>
      <c r="L266" s="1550">
        <v>0</v>
      </c>
      <c r="M266" s="1318">
        <v>0</v>
      </c>
      <c r="N266" s="1322">
        <v>0</v>
      </c>
      <c r="O266" s="1292">
        <v>0</v>
      </c>
      <c r="P266" s="1806">
        <v>0</v>
      </c>
      <c r="Q266" s="1807">
        <v>0</v>
      </c>
      <c r="R266" s="1715">
        <f t="shared" si="13"/>
        <v>0</v>
      </c>
      <c r="S266" s="1291">
        <v>0</v>
      </c>
      <c r="T266" s="1292">
        <v>120</v>
      </c>
      <c r="U266" s="239">
        <v>6380</v>
      </c>
      <c r="V266" s="1319">
        <v>0</v>
      </c>
      <c r="W266" s="284" t="s">
        <v>918</v>
      </c>
      <c r="X266" s="237" t="s">
        <v>14</v>
      </c>
      <c r="Y266" s="292" t="s">
        <v>746</v>
      </c>
      <c r="Z266" s="281" t="s">
        <v>828</v>
      </c>
      <c r="AA266" s="281" t="s">
        <v>828</v>
      </c>
    </row>
    <row r="267" spans="1:27" s="467" customFormat="1" ht="28.5" customHeight="1" x14ac:dyDescent="0.25">
      <c r="A267" s="185" t="s">
        <v>1062</v>
      </c>
      <c r="B267" s="116" t="s">
        <v>570</v>
      </c>
      <c r="C267" s="68">
        <v>2018</v>
      </c>
      <c r="D267" s="71" t="s">
        <v>102</v>
      </c>
      <c r="E267" s="81" t="s">
        <v>274</v>
      </c>
      <c r="F267" s="199" t="s">
        <v>274</v>
      </c>
      <c r="G267" s="163" t="s">
        <v>275</v>
      </c>
      <c r="H267" s="19">
        <v>498.12700000000001</v>
      </c>
      <c r="I267" s="138">
        <v>345.9</v>
      </c>
      <c r="J267" s="1608">
        <v>152.22700000000003</v>
      </c>
      <c r="K267" s="422">
        <v>152.227</v>
      </c>
      <c r="L267" s="334">
        <v>0</v>
      </c>
      <c r="M267" s="305">
        <v>0</v>
      </c>
      <c r="N267" s="294">
        <v>0</v>
      </c>
      <c r="O267" s="109">
        <v>0</v>
      </c>
      <c r="P267" s="1808">
        <v>0</v>
      </c>
      <c r="Q267" s="493">
        <v>0</v>
      </c>
      <c r="R267" s="1719">
        <f t="shared" si="13"/>
        <v>0</v>
      </c>
      <c r="S267" s="20">
        <v>0</v>
      </c>
      <c r="T267" s="109">
        <v>0</v>
      </c>
      <c r="U267" s="21">
        <v>0</v>
      </c>
      <c r="V267" s="17">
        <v>0</v>
      </c>
      <c r="W267" s="115" t="s">
        <v>776</v>
      </c>
      <c r="X267" s="68" t="s">
        <v>866</v>
      </c>
      <c r="Y267" s="257" t="s">
        <v>767</v>
      </c>
      <c r="Z267" s="67" t="s">
        <v>829</v>
      </c>
      <c r="AA267" s="67" t="s">
        <v>829</v>
      </c>
    </row>
    <row r="268" spans="1:27" s="429" customFormat="1" ht="25.5" x14ac:dyDescent="0.25">
      <c r="A268" s="1317" t="s">
        <v>1063</v>
      </c>
      <c r="B268" s="1288" t="s">
        <v>571</v>
      </c>
      <c r="C268" s="1289">
        <v>2018</v>
      </c>
      <c r="D268" s="1320" t="s">
        <v>102</v>
      </c>
      <c r="E268" s="340" t="s">
        <v>276</v>
      </c>
      <c r="F268" s="1451" t="s">
        <v>276</v>
      </c>
      <c r="G268" s="1321" t="s">
        <v>277</v>
      </c>
      <c r="H268" s="238">
        <v>963</v>
      </c>
      <c r="I268" s="283">
        <v>0</v>
      </c>
      <c r="J268" s="1610">
        <v>0</v>
      </c>
      <c r="K268" s="181">
        <v>0</v>
      </c>
      <c r="L268" s="1550">
        <v>0</v>
      </c>
      <c r="M268" s="1318">
        <v>0</v>
      </c>
      <c r="N268" s="248">
        <v>963</v>
      </c>
      <c r="O268" s="1292">
        <v>0</v>
      </c>
      <c r="P268" s="1806">
        <v>963</v>
      </c>
      <c r="Q268" s="1807">
        <v>0</v>
      </c>
      <c r="R268" s="1715">
        <f t="shared" si="13"/>
        <v>963</v>
      </c>
      <c r="S268" s="1291">
        <v>0</v>
      </c>
      <c r="T268" s="1292">
        <v>0</v>
      </c>
      <c r="U268" s="239">
        <v>0</v>
      </c>
      <c r="V268" s="1319">
        <v>0</v>
      </c>
      <c r="W268" s="240" t="s">
        <v>776</v>
      </c>
      <c r="X268" s="237" t="s">
        <v>14</v>
      </c>
      <c r="Y268" s="292" t="s">
        <v>746</v>
      </c>
      <c r="Z268" s="281" t="s">
        <v>828</v>
      </c>
      <c r="AA268" s="281" t="s">
        <v>828</v>
      </c>
    </row>
    <row r="269" spans="1:27" s="429" customFormat="1" ht="43.5" customHeight="1" x14ac:dyDescent="0.25">
      <c r="A269" s="1317" t="s">
        <v>1064</v>
      </c>
      <c r="B269" s="1288" t="s">
        <v>572</v>
      </c>
      <c r="C269" s="1289">
        <v>2018</v>
      </c>
      <c r="D269" s="1320" t="s">
        <v>102</v>
      </c>
      <c r="E269" s="340" t="s">
        <v>12</v>
      </c>
      <c r="F269" s="1451" t="s">
        <v>278</v>
      </c>
      <c r="G269" s="1321" t="s">
        <v>279</v>
      </c>
      <c r="H269" s="238">
        <v>14900</v>
      </c>
      <c r="I269" s="283">
        <v>0</v>
      </c>
      <c r="J269" s="1610">
        <v>0</v>
      </c>
      <c r="K269" s="181">
        <v>0</v>
      </c>
      <c r="L269" s="1550">
        <v>0</v>
      </c>
      <c r="M269" s="1318">
        <v>0</v>
      </c>
      <c r="N269" s="1322">
        <v>0</v>
      </c>
      <c r="O269" s="30">
        <v>7000</v>
      </c>
      <c r="P269" s="1806">
        <v>7000</v>
      </c>
      <c r="Q269" s="1807">
        <v>0</v>
      </c>
      <c r="R269" s="1715">
        <f t="shared" si="13"/>
        <v>7000</v>
      </c>
      <c r="S269" s="1291">
        <v>0</v>
      </c>
      <c r="T269" s="1292">
        <v>900</v>
      </c>
      <c r="U269" s="239">
        <v>7000</v>
      </c>
      <c r="V269" s="1319">
        <v>0</v>
      </c>
      <c r="W269" s="240" t="s">
        <v>919</v>
      </c>
      <c r="X269" s="281" t="s">
        <v>14</v>
      </c>
      <c r="Y269" s="292" t="s">
        <v>310</v>
      </c>
      <c r="Z269" s="281" t="s">
        <v>828</v>
      </c>
      <c r="AA269" s="281" t="s">
        <v>828</v>
      </c>
    </row>
    <row r="270" spans="1:27" s="429" customFormat="1" ht="38.25" x14ac:dyDescent="0.25">
      <c r="A270" s="1317" t="s">
        <v>1066</v>
      </c>
      <c r="B270" s="1288" t="s">
        <v>573</v>
      </c>
      <c r="C270" s="1289">
        <v>2018</v>
      </c>
      <c r="D270" s="1320" t="s">
        <v>102</v>
      </c>
      <c r="E270" s="340" t="s">
        <v>278</v>
      </c>
      <c r="F270" s="340" t="s">
        <v>278</v>
      </c>
      <c r="G270" s="1321" t="s">
        <v>280</v>
      </c>
      <c r="H270" s="238">
        <v>2100</v>
      </c>
      <c r="I270" s="283">
        <v>0</v>
      </c>
      <c r="J270" s="1610">
        <v>0</v>
      </c>
      <c r="K270" s="181">
        <v>0</v>
      </c>
      <c r="L270" s="1550">
        <v>0</v>
      </c>
      <c r="M270" s="1318">
        <v>0</v>
      </c>
      <c r="N270" s="1322">
        <v>0</v>
      </c>
      <c r="O270" s="30">
        <v>1980</v>
      </c>
      <c r="P270" s="1806">
        <v>1980</v>
      </c>
      <c r="Q270" s="1807">
        <v>0</v>
      </c>
      <c r="R270" s="1715">
        <f t="shared" si="13"/>
        <v>1980</v>
      </c>
      <c r="S270" s="1291">
        <v>0</v>
      </c>
      <c r="T270" s="1292">
        <v>120</v>
      </c>
      <c r="U270" s="239">
        <v>0</v>
      </c>
      <c r="V270" s="1319">
        <v>0</v>
      </c>
      <c r="W270" s="281" t="s">
        <v>1475</v>
      </c>
      <c r="X270" s="237" t="s">
        <v>14</v>
      </c>
      <c r="Y270" s="292" t="s">
        <v>722</v>
      </c>
      <c r="Z270" s="281" t="s">
        <v>828</v>
      </c>
      <c r="AA270" s="281" t="s">
        <v>828</v>
      </c>
    </row>
    <row r="271" spans="1:27" s="467" customFormat="1" ht="38.25" x14ac:dyDescent="0.25">
      <c r="A271" s="185" t="s">
        <v>1065</v>
      </c>
      <c r="B271" s="116" t="s">
        <v>574</v>
      </c>
      <c r="C271" s="68">
        <v>2018</v>
      </c>
      <c r="D271" s="71" t="s">
        <v>102</v>
      </c>
      <c r="E271" s="81" t="s">
        <v>281</v>
      </c>
      <c r="F271" s="199" t="s">
        <v>281</v>
      </c>
      <c r="G271" s="163" t="s">
        <v>282</v>
      </c>
      <c r="H271" s="19">
        <v>655.82</v>
      </c>
      <c r="I271" s="138">
        <v>0</v>
      </c>
      <c r="J271" s="1608">
        <v>655.82</v>
      </c>
      <c r="K271" s="422">
        <v>655.82</v>
      </c>
      <c r="L271" s="334">
        <v>0</v>
      </c>
      <c r="M271" s="305">
        <v>0</v>
      </c>
      <c r="N271" s="294">
        <v>0</v>
      </c>
      <c r="O271" s="109">
        <v>0</v>
      </c>
      <c r="P271" s="1808">
        <v>0</v>
      </c>
      <c r="Q271" s="493">
        <v>0</v>
      </c>
      <c r="R271" s="1719">
        <f t="shared" si="13"/>
        <v>0</v>
      </c>
      <c r="S271" s="20">
        <v>0</v>
      </c>
      <c r="T271" s="109">
        <v>0</v>
      </c>
      <c r="U271" s="21">
        <v>0</v>
      </c>
      <c r="V271" s="17">
        <v>0</v>
      </c>
      <c r="W271" s="120" t="s">
        <v>776</v>
      </c>
      <c r="X271" s="76" t="s">
        <v>866</v>
      </c>
      <c r="Y271" s="1286" t="s">
        <v>747</v>
      </c>
      <c r="Z271" s="67" t="s">
        <v>829</v>
      </c>
      <c r="AA271" s="620" t="s">
        <v>829</v>
      </c>
    </row>
    <row r="272" spans="1:27" s="467" customFormat="1" ht="25.5" x14ac:dyDescent="0.25">
      <c r="A272" s="185" t="s">
        <v>1067</v>
      </c>
      <c r="B272" s="116" t="s">
        <v>575</v>
      </c>
      <c r="C272" s="68">
        <v>2018</v>
      </c>
      <c r="D272" s="71" t="s">
        <v>102</v>
      </c>
      <c r="E272" s="81" t="s">
        <v>283</v>
      </c>
      <c r="F272" s="199" t="s">
        <v>283</v>
      </c>
      <c r="G272" s="163" t="s">
        <v>284</v>
      </c>
      <c r="H272" s="19">
        <v>479.55200000000002</v>
      </c>
      <c r="I272" s="138">
        <v>0</v>
      </c>
      <c r="J272" s="1608">
        <v>479.55200000000002</v>
      </c>
      <c r="K272" s="422">
        <v>479.55200000000002</v>
      </c>
      <c r="L272" s="334">
        <v>0</v>
      </c>
      <c r="M272" s="305">
        <v>0</v>
      </c>
      <c r="N272" s="294">
        <v>0</v>
      </c>
      <c r="O272" s="109">
        <v>0</v>
      </c>
      <c r="P272" s="1808">
        <v>0</v>
      </c>
      <c r="Q272" s="493">
        <v>0</v>
      </c>
      <c r="R272" s="1719">
        <f t="shared" si="13"/>
        <v>0</v>
      </c>
      <c r="S272" s="20">
        <v>0</v>
      </c>
      <c r="T272" s="109">
        <v>0</v>
      </c>
      <c r="U272" s="21">
        <v>0</v>
      </c>
      <c r="V272" s="21">
        <v>0</v>
      </c>
      <c r="W272" s="115" t="s">
        <v>776</v>
      </c>
      <c r="X272" s="68" t="s">
        <v>866</v>
      </c>
      <c r="Y272" s="257" t="s">
        <v>776</v>
      </c>
      <c r="Z272" s="67" t="s">
        <v>776</v>
      </c>
      <c r="AA272" s="67" t="s">
        <v>776</v>
      </c>
    </row>
    <row r="273" spans="1:27" s="467" customFormat="1" ht="25.5" x14ac:dyDescent="0.25">
      <c r="A273" s="185" t="s">
        <v>1068</v>
      </c>
      <c r="B273" s="116" t="s">
        <v>576</v>
      </c>
      <c r="C273" s="68">
        <v>2018</v>
      </c>
      <c r="D273" s="71" t="s">
        <v>102</v>
      </c>
      <c r="E273" s="81" t="s">
        <v>285</v>
      </c>
      <c r="F273" s="199" t="s">
        <v>285</v>
      </c>
      <c r="G273" s="163" t="s">
        <v>284</v>
      </c>
      <c r="H273" s="19">
        <v>398.93700000000001</v>
      </c>
      <c r="I273" s="138">
        <v>0</v>
      </c>
      <c r="J273" s="1608">
        <v>398.93700000000001</v>
      </c>
      <c r="K273" s="422">
        <v>398.93700000000001</v>
      </c>
      <c r="L273" s="334">
        <v>0</v>
      </c>
      <c r="M273" s="305">
        <v>0</v>
      </c>
      <c r="N273" s="294">
        <v>0</v>
      </c>
      <c r="O273" s="109">
        <v>0</v>
      </c>
      <c r="P273" s="1808">
        <v>0</v>
      </c>
      <c r="Q273" s="493">
        <v>0</v>
      </c>
      <c r="R273" s="1719">
        <f t="shared" si="13"/>
        <v>0</v>
      </c>
      <c r="S273" s="20">
        <v>0</v>
      </c>
      <c r="T273" s="109">
        <v>0</v>
      </c>
      <c r="U273" s="21">
        <v>0</v>
      </c>
      <c r="V273" s="21">
        <v>0</v>
      </c>
      <c r="W273" s="115" t="s">
        <v>776</v>
      </c>
      <c r="X273" s="68" t="s">
        <v>866</v>
      </c>
      <c r="Y273" s="257" t="s">
        <v>776</v>
      </c>
      <c r="Z273" s="67" t="s">
        <v>776</v>
      </c>
      <c r="AA273" s="67" t="s">
        <v>776</v>
      </c>
    </row>
    <row r="274" spans="1:27" s="464" customFormat="1" ht="30" x14ac:dyDescent="0.25">
      <c r="A274" s="185" t="s">
        <v>1069</v>
      </c>
      <c r="B274" s="116" t="s">
        <v>577</v>
      </c>
      <c r="C274" s="68">
        <v>2018</v>
      </c>
      <c r="D274" s="71" t="s">
        <v>102</v>
      </c>
      <c r="E274" s="81" t="s">
        <v>1018</v>
      </c>
      <c r="F274" s="81" t="s">
        <v>1018</v>
      </c>
      <c r="G274" s="163" t="s">
        <v>286</v>
      </c>
      <c r="H274" s="19">
        <v>6040.74755</v>
      </c>
      <c r="I274" s="19">
        <v>0</v>
      </c>
      <c r="J274" s="1608">
        <v>3040.74755</v>
      </c>
      <c r="K274" s="422">
        <v>3040.74755</v>
      </c>
      <c r="L274" s="334">
        <v>0</v>
      </c>
      <c r="M274" s="305">
        <v>0</v>
      </c>
      <c r="N274" s="294">
        <v>0</v>
      </c>
      <c r="O274" s="109">
        <v>0</v>
      </c>
      <c r="P274" s="1749">
        <v>0</v>
      </c>
      <c r="Q274" s="487">
        <v>0</v>
      </c>
      <c r="R274" s="1719">
        <f t="shared" si="13"/>
        <v>0</v>
      </c>
      <c r="S274" s="20">
        <v>3000</v>
      </c>
      <c r="T274" s="109">
        <v>0</v>
      </c>
      <c r="U274" s="21">
        <v>0</v>
      </c>
      <c r="V274" s="21">
        <v>0</v>
      </c>
      <c r="W274" s="115" t="s">
        <v>776</v>
      </c>
      <c r="X274" s="68" t="s">
        <v>866</v>
      </c>
      <c r="Y274" s="257" t="s">
        <v>650</v>
      </c>
      <c r="Z274" s="67" t="s">
        <v>829</v>
      </c>
      <c r="AA274" s="67" t="s">
        <v>829</v>
      </c>
    </row>
    <row r="275" spans="1:27" s="467" customFormat="1" ht="29.25" customHeight="1" x14ac:dyDescent="0.25">
      <c r="A275" s="185" t="s">
        <v>1070</v>
      </c>
      <c r="B275" s="119" t="s">
        <v>984</v>
      </c>
      <c r="C275" s="71">
        <v>2018</v>
      </c>
      <c r="D275" s="68" t="s">
        <v>884</v>
      </c>
      <c r="E275" s="69" t="s">
        <v>12</v>
      </c>
      <c r="F275" s="77" t="s">
        <v>1019</v>
      </c>
      <c r="G275" s="163" t="s">
        <v>287</v>
      </c>
      <c r="H275" s="19">
        <v>800</v>
      </c>
      <c r="I275" s="138">
        <v>0</v>
      </c>
      <c r="J275" s="1608">
        <v>800</v>
      </c>
      <c r="K275" s="422">
        <v>800</v>
      </c>
      <c r="L275" s="334">
        <v>0</v>
      </c>
      <c r="M275" s="305">
        <v>0</v>
      </c>
      <c r="N275" s="294">
        <v>0</v>
      </c>
      <c r="O275" s="109">
        <v>0</v>
      </c>
      <c r="P275" s="1808">
        <v>0</v>
      </c>
      <c r="Q275" s="493">
        <v>0</v>
      </c>
      <c r="R275" s="1719">
        <f t="shared" si="13"/>
        <v>0</v>
      </c>
      <c r="S275" s="20">
        <v>0</v>
      </c>
      <c r="T275" s="109">
        <v>0</v>
      </c>
      <c r="U275" s="21">
        <v>0</v>
      </c>
      <c r="V275" s="21">
        <v>0</v>
      </c>
      <c r="W275" s="129" t="s">
        <v>776</v>
      </c>
      <c r="X275" s="400" t="s">
        <v>866</v>
      </c>
      <c r="Y275" s="257" t="s">
        <v>305</v>
      </c>
      <c r="Z275" s="67" t="s">
        <v>828</v>
      </c>
      <c r="AA275" s="67" t="s">
        <v>828</v>
      </c>
    </row>
    <row r="276" spans="1:27" s="429" customFormat="1" ht="35.25" customHeight="1" thickBot="1" x14ac:dyDescent="0.3">
      <c r="A276" s="132" t="s">
        <v>1071</v>
      </c>
      <c r="B276" s="135" t="s">
        <v>985</v>
      </c>
      <c r="C276" s="133">
        <v>2018</v>
      </c>
      <c r="D276" s="133" t="s">
        <v>884</v>
      </c>
      <c r="E276" s="133" t="s">
        <v>12</v>
      </c>
      <c r="F276" s="130" t="s">
        <v>289</v>
      </c>
      <c r="G276" s="610" t="s">
        <v>290</v>
      </c>
      <c r="H276" s="418">
        <v>3500</v>
      </c>
      <c r="I276" s="418">
        <v>0</v>
      </c>
      <c r="J276" s="1614">
        <v>0</v>
      </c>
      <c r="K276" s="250">
        <v>0</v>
      </c>
      <c r="L276" s="1551">
        <v>0</v>
      </c>
      <c r="M276" s="656">
        <v>0</v>
      </c>
      <c r="N276" s="661">
        <v>0</v>
      </c>
      <c r="O276" s="317">
        <v>3500</v>
      </c>
      <c r="P276" s="1746">
        <v>3500</v>
      </c>
      <c r="Q276" s="1820">
        <v>0</v>
      </c>
      <c r="R276" s="1714">
        <f t="shared" si="13"/>
        <v>3500</v>
      </c>
      <c r="S276" s="621">
        <v>0</v>
      </c>
      <c r="T276" s="317">
        <v>0</v>
      </c>
      <c r="U276" s="49">
        <v>0</v>
      </c>
      <c r="V276" s="49">
        <v>0</v>
      </c>
      <c r="W276" s="130" t="s">
        <v>1811</v>
      </c>
      <c r="X276" s="133" t="s">
        <v>20</v>
      </c>
      <c r="Y276" s="233" t="s">
        <v>310</v>
      </c>
      <c r="Z276" s="137" t="s">
        <v>828</v>
      </c>
      <c r="AA276" s="137" t="s">
        <v>828</v>
      </c>
    </row>
    <row r="277" spans="1:27" s="429" customFormat="1" ht="38.25" x14ac:dyDescent="0.25">
      <c r="A277" s="111" t="s">
        <v>1072</v>
      </c>
      <c r="B277" s="93" t="s">
        <v>794</v>
      </c>
      <c r="C277" s="55">
        <v>2019</v>
      </c>
      <c r="D277" s="5" t="s">
        <v>801</v>
      </c>
      <c r="E277" s="55" t="s">
        <v>578</v>
      </c>
      <c r="F277" s="55" t="s">
        <v>578</v>
      </c>
      <c r="G277" s="156" t="s">
        <v>579</v>
      </c>
      <c r="H277" s="476">
        <v>3000</v>
      </c>
      <c r="I277" s="173">
        <v>0</v>
      </c>
      <c r="J277" s="1615">
        <v>0</v>
      </c>
      <c r="K277" s="246">
        <v>0</v>
      </c>
      <c r="L277" s="1552">
        <v>0</v>
      </c>
      <c r="M277" s="657">
        <v>0</v>
      </c>
      <c r="N277" s="613">
        <v>0</v>
      </c>
      <c r="O277" s="414">
        <v>0</v>
      </c>
      <c r="P277" s="1821">
        <v>0</v>
      </c>
      <c r="Q277" s="1822">
        <v>0</v>
      </c>
      <c r="R277" s="1715">
        <f t="shared" si="13"/>
        <v>0</v>
      </c>
      <c r="S277" s="13">
        <v>0</v>
      </c>
      <c r="T277" s="414">
        <v>2550</v>
      </c>
      <c r="U277" s="622">
        <v>450</v>
      </c>
      <c r="V277" s="479">
        <v>0</v>
      </c>
      <c r="W277" s="5" t="s">
        <v>920</v>
      </c>
      <c r="X277" s="55" t="s">
        <v>20</v>
      </c>
      <c r="Y277" s="232" t="s">
        <v>882</v>
      </c>
      <c r="Z277" s="106" t="s">
        <v>828</v>
      </c>
      <c r="AA277" s="106" t="s">
        <v>828</v>
      </c>
    </row>
    <row r="278" spans="1:27" s="429" customFormat="1" ht="38.25" x14ac:dyDescent="0.25">
      <c r="A278" s="64" t="s">
        <v>1073</v>
      </c>
      <c r="B278" s="87" t="s">
        <v>794</v>
      </c>
      <c r="C278" s="5">
        <v>2019</v>
      </c>
      <c r="D278" s="5" t="s">
        <v>801</v>
      </c>
      <c r="E278" s="5" t="s">
        <v>223</v>
      </c>
      <c r="F278" s="5" t="s">
        <v>223</v>
      </c>
      <c r="G278" s="524" t="s">
        <v>580</v>
      </c>
      <c r="H278" s="342">
        <v>400</v>
      </c>
      <c r="I278" s="63">
        <v>0</v>
      </c>
      <c r="J278" s="1610">
        <v>0</v>
      </c>
      <c r="K278" s="181">
        <v>0</v>
      </c>
      <c r="L278" s="1547">
        <v>0</v>
      </c>
      <c r="M278" s="274">
        <v>0</v>
      </c>
      <c r="N278" s="248">
        <v>0</v>
      </c>
      <c r="O278" s="30">
        <v>0</v>
      </c>
      <c r="P278" s="1744">
        <v>0</v>
      </c>
      <c r="Q278" s="651">
        <v>0</v>
      </c>
      <c r="R278" s="1715">
        <f t="shared" si="13"/>
        <v>0</v>
      </c>
      <c r="S278" s="16">
        <v>0</v>
      </c>
      <c r="T278" s="30">
        <v>0</v>
      </c>
      <c r="U278" s="318">
        <v>0</v>
      </c>
      <c r="V278" s="318">
        <v>400</v>
      </c>
      <c r="W278" s="5" t="s">
        <v>776</v>
      </c>
      <c r="X278" s="5" t="s">
        <v>20</v>
      </c>
      <c r="Y278" s="232" t="s">
        <v>882</v>
      </c>
      <c r="Z278" s="104" t="s">
        <v>828</v>
      </c>
      <c r="AA278" s="104" t="s">
        <v>828</v>
      </c>
    </row>
    <row r="279" spans="1:27" s="429" customFormat="1" ht="38.25" x14ac:dyDescent="0.25">
      <c r="A279" s="64" t="s">
        <v>1074</v>
      </c>
      <c r="B279" s="87" t="s">
        <v>794</v>
      </c>
      <c r="C279" s="5">
        <v>2019</v>
      </c>
      <c r="D279" s="5" t="s">
        <v>801</v>
      </c>
      <c r="E279" s="5" t="s">
        <v>223</v>
      </c>
      <c r="F279" s="5" t="s">
        <v>223</v>
      </c>
      <c r="G279" s="505" t="s">
        <v>581</v>
      </c>
      <c r="H279" s="342">
        <v>6500</v>
      </c>
      <c r="I279" s="63">
        <v>0</v>
      </c>
      <c r="J279" s="1610">
        <v>0</v>
      </c>
      <c r="K279" s="181">
        <v>0</v>
      </c>
      <c r="L279" s="1547">
        <v>0</v>
      </c>
      <c r="M279" s="274">
        <v>0</v>
      </c>
      <c r="N279" s="248">
        <v>0</v>
      </c>
      <c r="O279" s="30">
        <v>0</v>
      </c>
      <c r="P279" s="1744">
        <v>0</v>
      </c>
      <c r="Q279" s="651">
        <v>0</v>
      </c>
      <c r="R279" s="1715">
        <f t="shared" si="13"/>
        <v>0</v>
      </c>
      <c r="S279" s="16">
        <v>0</v>
      </c>
      <c r="T279" s="30">
        <v>0</v>
      </c>
      <c r="U279" s="318">
        <v>0</v>
      </c>
      <c r="V279" s="318">
        <v>6500</v>
      </c>
      <c r="W279" s="5" t="s">
        <v>776</v>
      </c>
      <c r="X279" s="5" t="s">
        <v>20</v>
      </c>
      <c r="Y279" s="232" t="s">
        <v>882</v>
      </c>
      <c r="Z279" s="104" t="s">
        <v>828</v>
      </c>
      <c r="AA279" s="104" t="s">
        <v>828</v>
      </c>
    </row>
    <row r="280" spans="1:27" s="467" customFormat="1" ht="30" x14ac:dyDescent="0.25">
      <c r="A280" s="728" t="s">
        <v>1075</v>
      </c>
      <c r="B280" s="533" t="s">
        <v>1427</v>
      </c>
      <c r="C280" s="461">
        <v>2019</v>
      </c>
      <c r="D280" s="461" t="s">
        <v>801</v>
      </c>
      <c r="E280" s="461" t="s">
        <v>288</v>
      </c>
      <c r="F280" s="461" t="s">
        <v>288</v>
      </c>
      <c r="G280" s="1134" t="s">
        <v>582</v>
      </c>
      <c r="H280" s="1323">
        <v>5792.5</v>
      </c>
      <c r="I280" s="1242">
        <v>0</v>
      </c>
      <c r="J280" s="1611">
        <v>5850</v>
      </c>
      <c r="K280" s="585">
        <v>5792.5</v>
      </c>
      <c r="L280" s="1548">
        <v>0</v>
      </c>
      <c r="M280" s="1019">
        <v>0</v>
      </c>
      <c r="N280" s="979">
        <v>0</v>
      </c>
      <c r="O280" s="980">
        <v>0</v>
      </c>
      <c r="P280" s="1811">
        <v>57.5</v>
      </c>
      <c r="Q280" s="1809">
        <v>-57.5</v>
      </c>
      <c r="R280" s="1721">
        <f t="shared" si="13"/>
        <v>0</v>
      </c>
      <c r="S280" s="732">
        <v>0</v>
      </c>
      <c r="T280" s="980">
        <v>0</v>
      </c>
      <c r="U280" s="1020">
        <v>0</v>
      </c>
      <c r="V280" s="1020">
        <v>0</v>
      </c>
      <c r="W280" s="461" t="s">
        <v>1812</v>
      </c>
      <c r="X280" s="461" t="s">
        <v>866</v>
      </c>
      <c r="Y280" s="799" t="s">
        <v>305</v>
      </c>
      <c r="Z280" s="798" t="s">
        <v>829</v>
      </c>
      <c r="AA280" s="798" t="s">
        <v>828</v>
      </c>
    </row>
    <row r="281" spans="1:27" s="429" customFormat="1" ht="38.25" x14ac:dyDescent="0.25">
      <c r="A281" s="64" t="s">
        <v>1076</v>
      </c>
      <c r="B281" s="87" t="s">
        <v>794</v>
      </c>
      <c r="C281" s="5">
        <v>2019</v>
      </c>
      <c r="D281" s="5" t="s">
        <v>801</v>
      </c>
      <c r="E281" s="5" t="s">
        <v>288</v>
      </c>
      <c r="F281" s="5" t="s">
        <v>288</v>
      </c>
      <c r="G281" s="505" t="s">
        <v>583</v>
      </c>
      <c r="H281" s="477">
        <v>356</v>
      </c>
      <c r="I281" s="63">
        <v>0</v>
      </c>
      <c r="J281" s="1610">
        <v>0</v>
      </c>
      <c r="K281" s="181">
        <v>0</v>
      </c>
      <c r="L281" s="1547">
        <v>0</v>
      </c>
      <c r="M281" s="274">
        <v>0</v>
      </c>
      <c r="N281" s="248">
        <v>0</v>
      </c>
      <c r="O281" s="30">
        <v>0</v>
      </c>
      <c r="P281" s="1744">
        <v>0</v>
      </c>
      <c r="Q281" s="651">
        <v>0</v>
      </c>
      <c r="R281" s="1715">
        <f t="shared" si="13"/>
        <v>0</v>
      </c>
      <c r="S281" s="16">
        <v>0</v>
      </c>
      <c r="T281" s="30">
        <v>0</v>
      </c>
      <c r="U281" s="318">
        <v>0</v>
      </c>
      <c r="V281" s="318">
        <v>356</v>
      </c>
      <c r="W281" s="5" t="s">
        <v>776</v>
      </c>
      <c r="X281" s="5" t="s">
        <v>20</v>
      </c>
      <c r="Y281" s="232" t="s">
        <v>882</v>
      </c>
      <c r="Z281" s="104" t="s">
        <v>828</v>
      </c>
      <c r="AA281" s="104" t="s">
        <v>828</v>
      </c>
    </row>
    <row r="282" spans="1:27" s="429" customFormat="1" ht="38.25" x14ac:dyDescent="0.25">
      <c r="A282" s="64" t="s">
        <v>1077</v>
      </c>
      <c r="B282" s="87" t="s">
        <v>794</v>
      </c>
      <c r="C282" s="5">
        <v>2019</v>
      </c>
      <c r="D282" s="5" t="s">
        <v>801</v>
      </c>
      <c r="E282" s="5" t="s">
        <v>288</v>
      </c>
      <c r="F282" s="5" t="s">
        <v>288</v>
      </c>
      <c r="G282" s="505" t="s">
        <v>584</v>
      </c>
      <c r="H282" s="477">
        <v>410</v>
      </c>
      <c r="I282" s="63">
        <v>0</v>
      </c>
      <c r="J282" s="1610">
        <v>0</v>
      </c>
      <c r="K282" s="181">
        <v>0</v>
      </c>
      <c r="L282" s="1547">
        <v>0</v>
      </c>
      <c r="M282" s="274">
        <v>0</v>
      </c>
      <c r="N282" s="248">
        <v>0</v>
      </c>
      <c r="O282" s="30">
        <v>0</v>
      </c>
      <c r="P282" s="1744">
        <v>0</v>
      </c>
      <c r="Q282" s="651">
        <v>0</v>
      </c>
      <c r="R282" s="1715">
        <f t="shared" si="13"/>
        <v>0</v>
      </c>
      <c r="S282" s="16">
        <v>0</v>
      </c>
      <c r="T282" s="30">
        <v>0</v>
      </c>
      <c r="U282" s="318">
        <v>0</v>
      </c>
      <c r="V282" s="318">
        <v>410</v>
      </c>
      <c r="W282" s="5" t="s">
        <v>776</v>
      </c>
      <c r="X282" s="5" t="s">
        <v>20</v>
      </c>
      <c r="Y282" s="232" t="s">
        <v>882</v>
      </c>
      <c r="Z282" s="104" t="s">
        <v>828</v>
      </c>
      <c r="AA282" s="104" t="s">
        <v>828</v>
      </c>
    </row>
    <row r="283" spans="1:27" s="429" customFormat="1" ht="25.5" x14ac:dyDescent="0.25">
      <c r="A283" s="64" t="s">
        <v>1078</v>
      </c>
      <c r="B283" s="87" t="s">
        <v>986</v>
      </c>
      <c r="C283" s="5">
        <v>2019</v>
      </c>
      <c r="D283" s="5" t="s">
        <v>801</v>
      </c>
      <c r="E283" s="5" t="s">
        <v>288</v>
      </c>
      <c r="F283" s="5" t="s">
        <v>288</v>
      </c>
      <c r="G283" s="505" t="s">
        <v>792</v>
      </c>
      <c r="H283" s="477">
        <v>4800</v>
      </c>
      <c r="I283" s="63">
        <v>0</v>
      </c>
      <c r="J283" s="1610">
        <v>3094</v>
      </c>
      <c r="K283" s="181">
        <v>3093.9306099999999</v>
      </c>
      <c r="L283" s="1547">
        <v>853</v>
      </c>
      <c r="M283" s="274">
        <v>853.06939</v>
      </c>
      <c r="N283" s="248">
        <v>0</v>
      </c>
      <c r="O283" s="30">
        <v>0</v>
      </c>
      <c r="P283" s="1744">
        <f>4600.35-2894.28061</f>
        <v>1706.0693900000006</v>
      </c>
      <c r="Q283" s="651">
        <v>0</v>
      </c>
      <c r="R283" s="1715">
        <f t="shared" si="13"/>
        <v>1706.0693900000006</v>
      </c>
      <c r="S283" s="16">
        <v>0</v>
      </c>
      <c r="T283" s="30">
        <v>0</v>
      </c>
      <c r="U283" s="318">
        <v>0</v>
      </c>
      <c r="V283" s="318">
        <v>0</v>
      </c>
      <c r="W283" s="5" t="s">
        <v>776</v>
      </c>
      <c r="X283" s="5" t="s">
        <v>46</v>
      </c>
      <c r="Y283" s="232" t="s">
        <v>925</v>
      </c>
      <c r="Z283" s="104" t="s">
        <v>829</v>
      </c>
      <c r="AA283" s="104" t="s">
        <v>829</v>
      </c>
    </row>
    <row r="284" spans="1:27" s="464" customFormat="1" ht="25.5" x14ac:dyDescent="0.25">
      <c r="A284" s="728" t="s">
        <v>1079</v>
      </c>
      <c r="B284" s="533" t="s">
        <v>1428</v>
      </c>
      <c r="C284" s="461">
        <v>2019</v>
      </c>
      <c r="D284" s="461" t="s">
        <v>801</v>
      </c>
      <c r="E284" s="461" t="s">
        <v>288</v>
      </c>
      <c r="F284" s="461" t="s">
        <v>288</v>
      </c>
      <c r="G284" s="1134" t="s">
        <v>585</v>
      </c>
      <c r="H284" s="1323">
        <v>5137.66</v>
      </c>
      <c r="I284" s="1242">
        <v>0</v>
      </c>
      <c r="J284" s="1611">
        <v>5300</v>
      </c>
      <c r="K284" s="585">
        <v>5137.66</v>
      </c>
      <c r="L284" s="1548">
        <v>0</v>
      </c>
      <c r="M284" s="1019">
        <v>0</v>
      </c>
      <c r="N284" s="979">
        <v>0</v>
      </c>
      <c r="O284" s="980">
        <v>0</v>
      </c>
      <c r="P284" s="1776">
        <v>162.34</v>
      </c>
      <c r="Q284" s="1809">
        <f>-1*P284</f>
        <v>-162.34</v>
      </c>
      <c r="R284" s="1721">
        <f t="shared" si="13"/>
        <v>0</v>
      </c>
      <c r="S284" s="732">
        <v>0</v>
      </c>
      <c r="T284" s="980">
        <v>0</v>
      </c>
      <c r="U284" s="1020">
        <v>0</v>
      </c>
      <c r="V284" s="1020">
        <v>0</v>
      </c>
      <c r="W284" s="461" t="s">
        <v>1844</v>
      </c>
      <c r="X284" s="461" t="s">
        <v>866</v>
      </c>
      <c r="Y284" s="799" t="s">
        <v>883</v>
      </c>
      <c r="Z284" s="798" t="s">
        <v>829</v>
      </c>
      <c r="AA284" s="798" t="s">
        <v>829</v>
      </c>
    </row>
    <row r="285" spans="1:27" s="467" customFormat="1" ht="30" x14ac:dyDescent="0.25">
      <c r="A285" s="136" t="s">
        <v>1080</v>
      </c>
      <c r="B285" s="116" t="s">
        <v>1130</v>
      </c>
      <c r="C285" s="68">
        <v>2019</v>
      </c>
      <c r="D285" s="68" t="s">
        <v>801</v>
      </c>
      <c r="E285" s="68" t="s">
        <v>288</v>
      </c>
      <c r="F285" s="68" t="s">
        <v>288</v>
      </c>
      <c r="G285" s="157" t="s">
        <v>586</v>
      </c>
      <c r="H285" s="623">
        <v>3083.1152999999999</v>
      </c>
      <c r="I285" s="138">
        <v>0</v>
      </c>
      <c r="J285" s="1608">
        <v>3235.1952999999999</v>
      </c>
      <c r="K285" s="422">
        <v>3083.1152999999999</v>
      </c>
      <c r="L285" s="334">
        <v>0</v>
      </c>
      <c r="M285" s="305">
        <v>0</v>
      </c>
      <c r="N285" s="294">
        <v>0</v>
      </c>
      <c r="O285" s="109">
        <v>0</v>
      </c>
      <c r="P285" s="1823">
        <v>152.08000000000001</v>
      </c>
      <c r="Q285" s="1809">
        <f>-1*P285</f>
        <v>-152.08000000000001</v>
      </c>
      <c r="R285" s="1719">
        <f t="shared" si="13"/>
        <v>0</v>
      </c>
      <c r="S285" s="21">
        <v>0</v>
      </c>
      <c r="T285" s="109">
        <v>0</v>
      </c>
      <c r="U285" s="328">
        <v>0</v>
      </c>
      <c r="V285" s="328">
        <v>0</v>
      </c>
      <c r="W285" s="68" t="s">
        <v>1813</v>
      </c>
      <c r="X285" s="68" t="s">
        <v>866</v>
      </c>
      <c r="Y285" s="257" t="s">
        <v>305</v>
      </c>
      <c r="Z285" s="67" t="s">
        <v>829</v>
      </c>
      <c r="AA285" s="67" t="s">
        <v>829</v>
      </c>
    </row>
    <row r="286" spans="1:27" s="429" customFormat="1" ht="38.25" x14ac:dyDescent="0.25">
      <c r="A286" s="64" t="s">
        <v>1081</v>
      </c>
      <c r="B286" s="87" t="s">
        <v>794</v>
      </c>
      <c r="C286" s="5">
        <v>2019</v>
      </c>
      <c r="D286" s="5" t="s">
        <v>801</v>
      </c>
      <c r="E286" s="5" t="s">
        <v>557</v>
      </c>
      <c r="F286" s="5" t="s">
        <v>557</v>
      </c>
      <c r="G286" s="505" t="s">
        <v>587</v>
      </c>
      <c r="H286" s="477">
        <v>370</v>
      </c>
      <c r="I286" s="63">
        <v>0</v>
      </c>
      <c r="J286" s="1610">
        <v>0</v>
      </c>
      <c r="K286" s="181">
        <v>0</v>
      </c>
      <c r="L286" s="1547">
        <v>0</v>
      </c>
      <c r="M286" s="274">
        <v>0</v>
      </c>
      <c r="N286" s="248">
        <v>0</v>
      </c>
      <c r="O286" s="30">
        <v>0</v>
      </c>
      <c r="P286" s="1744">
        <v>0</v>
      </c>
      <c r="Q286" s="651">
        <v>0</v>
      </c>
      <c r="R286" s="1715">
        <f t="shared" si="13"/>
        <v>0</v>
      </c>
      <c r="S286" s="16">
        <v>0</v>
      </c>
      <c r="T286" s="30">
        <v>150</v>
      </c>
      <c r="U286" s="318">
        <v>220</v>
      </c>
      <c r="V286" s="318">
        <v>0</v>
      </c>
      <c r="W286" s="5" t="s">
        <v>912</v>
      </c>
      <c r="X286" s="5" t="s">
        <v>20</v>
      </c>
      <c r="Y286" s="232" t="s">
        <v>882</v>
      </c>
      <c r="Z286" s="104" t="s">
        <v>828</v>
      </c>
      <c r="AA286" s="104" t="s">
        <v>828</v>
      </c>
    </row>
    <row r="287" spans="1:27" s="464" customFormat="1" ht="28.5" customHeight="1" x14ac:dyDescent="0.25">
      <c r="A287" s="849" t="s">
        <v>1082</v>
      </c>
      <c r="B287" s="850" t="s">
        <v>1909</v>
      </c>
      <c r="C287" s="553">
        <v>2019</v>
      </c>
      <c r="D287" s="553" t="s">
        <v>801</v>
      </c>
      <c r="E287" s="553" t="s">
        <v>557</v>
      </c>
      <c r="F287" s="553" t="s">
        <v>557</v>
      </c>
      <c r="G287" s="903" t="s">
        <v>588</v>
      </c>
      <c r="H287" s="1324">
        <v>800</v>
      </c>
      <c r="I287" s="1145">
        <v>0</v>
      </c>
      <c r="J287" s="1145">
        <v>800</v>
      </c>
      <c r="K287" s="853">
        <v>0</v>
      </c>
      <c r="L287" s="1536">
        <v>800</v>
      </c>
      <c r="M287" s="991">
        <v>0</v>
      </c>
      <c r="N287" s="923">
        <v>0</v>
      </c>
      <c r="O287" s="993">
        <v>0</v>
      </c>
      <c r="P287" s="1824">
        <v>800</v>
      </c>
      <c r="Q287" s="1825">
        <v>0</v>
      </c>
      <c r="R287" s="1466">
        <f t="shared" si="13"/>
        <v>800</v>
      </c>
      <c r="S287" s="855">
        <v>0</v>
      </c>
      <c r="T287" s="993">
        <v>0</v>
      </c>
      <c r="U287" s="994">
        <v>0</v>
      </c>
      <c r="V287" s="994">
        <v>0</v>
      </c>
      <c r="W287" s="553" t="s">
        <v>1943</v>
      </c>
      <c r="X287" s="553" t="s">
        <v>46</v>
      </c>
      <c r="Y287" s="775" t="s">
        <v>854</v>
      </c>
      <c r="Z287" s="774" t="s">
        <v>829</v>
      </c>
      <c r="AA287" s="774" t="s">
        <v>829</v>
      </c>
    </row>
    <row r="288" spans="1:27" s="429" customFormat="1" ht="38.25" x14ac:dyDescent="0.25">
      <c r="A288" s="64" t="s">
        <v>1083</v>
      </c>
      <c r="B288" s="87" t="s">
        <v>794</v>
      </c>
      <c r="C288" s="5">
        <v>2019</v>
      </c>
      <c r="D288" s="5" t="s">
        <v>801</v>
      </c>
      <c r="E288" s="5" t="s">
        <v>589</v>
      </c>
      <c r="F288" s="5" t="s">
        <v>589</v>
      </c>
      <c r="G288" s="505" t="s">
        <v>703</v>
      </c>
      <c r="H288" s="477">
        <v>600</v>
      </c>
      <c r="I288" s="63">
        <v>0</v>
      </c>
      <c r="J288" s="1610">
        <v>0</v>
      </c>
      <c r="K288" s="181">
        <v>0</v>
      </c>
      <c r="L288" s="1547">
        <v>0</v>
      </c>
      <c r="M288" s="274">
        <v>0</v>
      </c>
      <c r="N288" s="248">
        <v>0</v>
      </c>
      <c r="O288" s="30">
        <v>0</v>
      </c>
      <c r="P288" s="1744">
        <v>0</v>
      </c>
      <c r="Q288" s="651">
        <v>0</v>
      </c>
      <c r="R288" s="1715">
        <f t="shared" si="13"/>
        <v>0</v>
      </c>
      <c r="S288" s="16">
        <v>0</v>
      </c>
      <c r="T288" s="30">
        <v>300</v>
      </c>
      <c r="U288" s="318">
        <v>300</v>
      </c>
      <c r="V288" s="318">
        <v>0</v>
      </c>
      <c r="W288" s="5" t="s">
        <v>920</v>
      </c>
      <c r="X288" s="5" t="s">
        <v>20</v>
      </c>
      <c r="Y288" s="232" t="s">
        <v>882</v>
      </c>
      <c r="Z288" s="104" t="s">
        <v>828</v>
      </c>
      <c r="AA288" s="104" t="s">
        <v>828</v>
      </c>
    </row>
    <row r="289" spans="1:27" s="429" customFormat="1" ht="38.25" x14ac:dyDescent="0.25">
      <c r="A289" s="64" t="s">
        <v>1084</v>
      </c>
      <c r="B289" s="87" t="s">
        <v>794</v>
      </c>
      <c r="C289" s="5">
        <v>2019</v>
      </c>
      <c r="D289" s="5" t="s">
        <v>801</v>
      </c>
      <c r="E289" s="5" t="s">
        <v>590</v>
      </c>
      <c r="F289" s="5" t="s">
        <v>590</v>
      </c>
      <c r="G289" s="505" t="s">
        <v>591</v>
      </c>
      <c r="H289" s="477">
        <v>800</v>
      </c>
      <c r="I289" s="63">
        <v>0</v>
      </c>
      <c r="J289" s="1610">
        <v>0</v>
      </c>
      <c r="K289" s="181">
        <v>0</v>
      </c>
      <c r="L289" s="1547">
        <v>0</v>
      </c>
      <c r="M289" s="274">
        <v>0</v>
      </c>
      <c r="N289" s="248">
        <v>0</v>
      </c>
      <c r="O289" s="30">
        <v>0</v>
      </c>
      <c r="P289" s="1744">
        <v>0</v>
      </c>
      <c r="Q289" s="651">
        <v>0</v>
      </c>
      <c r="R289" s="1715">
        <f t="shared" si="13"/>
        <v>0</v>
      </c>
      <c r="S289" s="16">
        <v>0</v>
      </c>
      <c r="T289" s="30">
        <v>0</v>
      </c>
      <c r="U289" s="318">
        <v>800</v>
      </c>
      <c r="V289" s="318">
        <v>0</v>
      </c>
      <c r="W289" s="5" t="s">
        <v>776</v>
      </c>
      <c r="X289" s="5" t="s">
        <v>20</v>
      </c>
      <c r="Y289" s="232" t="s">
        <v>882</v>
      </c>
      <c r="Z289" s="104" t="s">
        <v>828</v>
      </c>
      <c r="AA289" s="104" t="s">
        <v>828</v>
      </c>
    </row>
    <row r="290" spans="1:27" s="429" customFormat="1" ht="38.25" x14ac:dyDescent="0.25">
      <c r="A290" s="64" t="s">
        <v>1085</v>
      </c>
      <c r="B290" s="87" t="s">
        <v>794</v>
      </c>
      <c r="C290" s="5">
        <v>2019</v>
      </c>
      <c r="D290" s="5" t="s">
        <v>801</v>
      </c>
      <c r="E290" s="5" t="s">
        <v>264</v>
      </c>
      <c r="F290" s="5" t="s">
        <v>264</v>
      </c>
      <c r="G290" s="505" t="s">
        <v>630</v>
      </c>
      <c r="H290" s="477">
        <v>400</v>
      </c>
      <c r="I290" s="63">
        <v>0</v>
      </c>
      <c r="J290" s="1610">
        <v>0</v>
      </c>
      <c r="K290" s="181">
        <v>0</v>
      </c>
      <c r="L290" s="1547">
        <v>0</v>
      </c>
      <c r="M290" s="274">
        <v>0</v>
      </c>
      <c r="N290" s="248">
        <v>0</v>
      </c>
      <c r="O290" s="30">
        <v>0</v>
      </c>
      <c r="P290" s="1744">
        <v>0</v>
      </c>
      <c r="Q290" s="651">
        <v>0</v>
      </c>
      <c r="R290" s="1715">
        <f t="shared" si="13"/>
        <v>0</v>
      </c>
      <c r="S290" s="16">
        <v>0</v>
      </c>
      <c r="T290" s="30">
        <v>0</v>
      </c>
      <c r="U290" s="318">
        <v>400</v>
      </c>
      <c r="V290" s="318">
        <v>0</v>
      </c>
      <c r="W290" s="5" t="s">
        <v>912</v>
      </c>
      <c r="X290" s="5" t="s">
        <v>20</v>
      </c>
      <c r="Y290" s="232" t="s">
        <v>882</v>
      </c>
      <c r="Z290" s="104" t="s">
        <v>828</v>
      </c>
      <c r="AA290" s="104" t="s">
        <v>828</v>
      </c>
    </row>
    <row r="291" spans="1:27" s="429" customFormat="1" ht="38.25" x14ac:dyDescent="0.25">
      <c r="A291" s="64" t="s">
        <v>1086</v>
      </c>
      <c r="B291" s="87" t="s">
        <v>794</v>
      </c>
      <c r="C291" s="5">
        <v>2019</v>
      </c>
      <c r="D291" s="5" t="s">
        <v>801</v>
      </c>
      <c r="E291" s="5" t="s">
        <v>264</v>
      </c>
      <c r="F291" s="5" t="s">
        <v>264</v>
      </c>
      <c r="G291" s="505" t="s">
        <v>797</v>
      </c>
      <c r="H291" s="477">
        <v>1250</v>
      </c>
      <c r="I291" s="63">
        <v>0</v>
      </c>
      <c r="J291" s="1610">
        <v>0</v>
      </c>
      <c r="K291" s="181">
        <v>0</v>
      </c>
      <c r="L291" s="1547">
        <v>0</v>
      </c>
      <c r="M291" s="274">
        <v>0</v>
      </c>
      <c r="N291" s="248">
        <v>0</v>
      </c>
      <c r="O291" s="30">
        <v>0</v>
      </c>
      <c r="P291" s="1744">
        <v>0</v>
      </c>
      <c r="Q291" s="651">
        <v>0</v>
      </c>
      <c r="R291" s="1715">
        <f t="shared" si="13"/>
        <v>0</v>
      </c>
      <c r="S291" s="16">
        <v>0</v>
      </c>
      <c r="T291" s="30">
        <v>0</v>
      </c>
      <c r="U291" s="318">
        <v>1250</v>
      </c>
      <c r="V291" s="318">
        <v>0</v>
      </c>
      <c r="W291" s="5" t="s">
        <v>776</v>
      </c>
      <c r="X291" s="5" t="s">
        <v>20</v>
      </c>
      <c r="Y291" s="232" t="s">
        <v>882</v>
      </c>
      <c r="Z291" s="104" t="s">
        <v>828</v>
      </c>
      <c r="AA291" s="104" t="s">
        <v>828</v>
      </c>
    </row>
    <row r="292" spans="1:27" s="429" customFormat="1" ht="28.5" customHeight="1" x14ac:dyDescent="0.25">
      <c r="A292" s="64" t="s">
        <v>1087</v>
      </c>
      <c r="B292" s="87" t="s">
        <v>794</v>
      </c>
      <c r="C292" s="5">
        <v>2019</v>
      </c>
      <c r="D292" s="5" t="s">
        <v>801</v>
      </c>
      <c r="E292" s="5" t="s">
        <v>592</v>
      </c>
      <c r="F292" s="5" t="s">
        <v>592</v>
      </c>
      <c r="G292" s="505" t="s">
        <v>593</v>
      </c>
      <c r="H292" s="477">
        <v>1112</v>
      </c>
      <c r="I292" s="63">
        <v>0</v>
      </c>
      <c r="J292" s="1610">
        <v>0</v>
      </c>
      <c r="K292" s="181">
        <v>0</v>
      </c>
      <c r="L292" s="1547">
        <v>0</v>
      </c>
      <c r="M292" s="274">
        <v>0</v>
      </c>
      <c r="N292" s="248">
        <v>0</v>
      </c>
      <c r="O292" s="30">
        <v>0</v>
      </c>
      <c r="P292" s="1744">
        <v>0</v>
      </c>
      <c r="Q292" s="651">
        <v>0</v>
      </c>
      <c r="R292" s="1715">
        <f t="shared" si="13"/>
        <v>0</v>
      </c>
      <c r="S292" s="16">
        <v>0</v>
      </c>
      <c r="T292" s="30">
        <v>0</v>
      </c>
      <c r="U292" s="318">
        <v>1112</v>
      </c>
      <c r="V292" s="318">
        <v>0</v>
      </c>
      <c r="W292" s="5" t="s">
        <v>776</v>
      </c>
      <c r="X292" s="5" t="s">
        <v>20</v>
      </c>
      <c r="Y292" s="232" t="s">
        <v>980</v>
      </c>
      <c r="Z292" s="104" t="s">
        <v>828</v>
      </c>
      <c r="AA292" s="104" t="s">
        <v>828</v>
      </c>
    </row>
    <row r="293" spans="1:27" s="429" customFormat="1" ht="38.25" x14ac:dyDescent="0.25">
      <c r="A293" s="64" t="s">
        <v>1088</v>
      </c>
      <c r="B293" s="87" t="s">
        <v>794</v>
      </c>
      <c r="C293" s="5">
        <v>2019</v>
      </c>
      <c r="D293" s="5" t="s">
        <v>801</v>
      </c>
      <c r="E293" s="5" t="s">
        <v>594</v>
      </c>
      <c r="F293" s="5" t="s">
        <v>594</v>
      </c>
      <c r="G293" s="505" t="s">
        <v>595</v>
      </c>
      <c r="H293" s="477">
        <v>600</v>
      </c>
      <c r="I293" s="63">
        <v>0</v>
      </c>
      <c r="J293" s="1610">
        <v>0</v>
      </c>
      <c r="K293" s="181">
        <v>0</v>
      </c>
      <c r="L293" s="1547">
        <v>0</v>
      </c>
      <c r="M293" s="274">
        <v>0</v>
      </c>
      <c r="N293" s="248">
        <v>0</v>
      </c>
      <c r="O293" s="30">
        <v>0</v>
      </c>
      <c r="P293" s="1744">
        <v>0</v>
      </c>
      <c r="Q293" s="651">
        <v>0</v>
      </c>
      <c r="R293" s="1715">
        <f t="shared" si="13"/>
        <v>0</v>
      </c>
      <c r="S293" s="16">
        <v>0</v>
      </c>
      <c r="T293" s="30">
        <v>250</v>
      </c>
      <c r="U293" s="318">
        <v>350</v>
      </c>
      <c r="V293" s="318">
        <v>0</v>
      </c>
      <c r="W293" s="5" t="s">
        <v>912</v>
      </c>
      <c r="X293" s="5" t="s">
        <v>20</v>
      </c>
      <c r="Y293" s="232" t="s">
        <v>980</v>
      </c>
      <c r="Z293" s="104" t="s">
        <v>828</v>
      </c>
      <c r="AA293" s="104" t="s">
        <v>828</v>
      </c>
    </row>
    <row r="294" spans="1:27" s="429" customFormat="1" ht="28.5" customHeight="1" x14ac:dyDescent="0.25">
      <c r="A294" s="64" t="s">
        <v>1089</v>
      </c>
      <c r="B294" s="87" t="s">
        <v>794</v>
      </c>
      <c r="C294" s="5">
        <v>2019</v>
      </c>
      <c r="D294" s="5" t="s">
        <v>801</v>
      </c>
      <c r="E294" s="5" t="s">
        <v>596</v>
      </c>
      <c r="F294" s="5" t="s">
        <v>596</v>
      </c>
      <c r="G294" s="505" t="s">
        <v>597</v>
      </c>
      <c r="H294" s="477">
        <v>4900</v>
      </c>
      <c r="I294" s="63">
        <v>0</v>
      </c>
      <c r="J294" s="1610">
        <v>0</v>
      </c>
      <c r="K294" s="181">
        <v>0</v>
      </c>
      <c r="L294" s="1547">
        <v>0</v>
      </c>
      <c r="M294" s="274">
        <v>0</v>
      </c>
      <c r="N294" s="248">
        <v>0</v>
      </c>
      <c r="O294" s="30">
        <v>0</v>
      </c>
      <c r="P294" s="1744">
        <v>0</v>
      </c>
      <c r="Q294" s="651">
        <v>0</v>
      </c>
      <c r="R294" s="1715">
        <f t="shared" ref="R294:R347" si="14">P294+Q294</f>
        <v>0</v>
      </c>
      <c r="S294" s="16">
        <v>0</v>
      </c>
      <c r="T294" s="30">
        <v>0</v>
      </c>
      <c r="U294" s="318">
        <v>4900</v>
      </c>
      <c r="V294" s="318">
        <v>0</v>
      </c>
      <c r="W294" s="5" t="s">
        <v>776</v>
      </c>
      <c r="X294" s="5" t="s">
        <v>20</v>
      </c>
      <c r="Y294" s="232" t="s">
        <v>980</v>
      </c>
      <c r="Z294" s="104" t="s">
        <v>828</v>
      </c>
      <c r="AA294" s="104" t="s">
        <v>828</v>
      </c>
    </row>
    <row r="295" spans="1:27" s="429" customFormat="1" ht="28.5" customHeight="1" x14ac:dyDescent="0.25">
      <c r="A295" s="64" t="s">
        <v>1090</v>
      </c>
      <c r="B295" s="87" t="s">
        <v>794</v>
      </c>
      <c r="C295" s="5">
        <v>2019</v>
      </c>
      <c r="D295" s="5" t="s">
        <v>801</v>
      </c>
      <c r="E295" s="5" t="s">
        <v>12</v>
      </c>
      <c r="F295" s="5" t="s">
        <v>598</v>
      </c>
      <c r="G295" s="505" t="s">
        <v>599</v>
      </c>
      <c r="H295" s="477">
        <v>17000</v>
      </c>
      <c r="I295" s="63">
        <v>0</v>
      </c>
      <c r="J295" s="1610">
        <v>0</v>
      </c>
      <c r="K295" s="181">
        <v>0</v>
      </c>
      <c r="L295" s="1547">
        <v>0</v>
      </c>
      <c r="M295" s="274">
        <v>0</v>
      </c>
      <c r="N295" s="248">
        <v>0</v>
      </c>
      <c r="O295" s="30">
        <v>0</v>
      </c>
      <c r="P295" s="1744">
        <v>0</v>
      </c>
      <c r="Q295" s="651">
        <v>0</v>
      </c>
      <c r="R295" s="1715">
        <f t="shared" si="14"/>
        <v>0</v>
      </c>
      <c r="S295" s="16">
        <v>0</v>
      </c>
      <c r="T295" s="30">
        <v>0</v>
      </c>
      <c r="U295" s="318">
        <v>0</v>
      </c>
      <c r="V295" s="318">
        <v>17000</v>
      </c>
      <c r="W295" s="5" t="s">
        <v>776</v>
      </c>
      <c r="X295" s="5" t="s">
        <v>20</v>
      </c>
      <c r="Y295" s="232" t="s">
        <v>981</v>
      </c>
      <c r="Z295" s="104" t="s">
        <v>828</v>
      </c>
      <c r="AA295" s="104" t="s">
        <v>828</v>
      </c>
    </row>
    <row r="296" spans="1:27" s="429" customFormat="1" ht="38.25" x14ac:dyDescent="0.25">
      <c r="A296" s="64" t="s">
        <v>1091</v>
      </c>
      <c r="B296" s="87" t="s">
        <v>794</v>
      </c>
      <c r="C296" s="5">
        <v>2019</v>
      </c>
      <c r="D296" s="5" t="s">
        <v>801</v>
      </c>
      <c r="E296" s="5" t="s">
        <v>12</v>
      </c>
      <c r="F296" s="5" t="s">
        <v>556</v>
      </c>
      <c r="G296" s="505" t="s">
        <v>600</v>
      </c>
      <c r="H296" s="477">
        <v>12100</v>
      </c>
      <c r="I296" s="63">
        <v>0</v>
      </c>
      <c r="J296" s="1610">
        <v>0</v>
      </c>
      <c r="K296" s="181">
        <v>0</v>
      </c>
      <c r="L296" s="1547">
        <v>0</v>
      </c>
      <c r="M296" s="274">
        <v>0</v>
      </c>
      <c r="N296" s="248">
        <v>0</v>
      </c>
      <c r="O296" s="30">
        <v>0</v>
      </c>
      <c r="P296" s="1744">
        <v>0</v>
      </c>
      <c r="Q296" s="651">
        <v>0</v>
      </c>
      <c r="R296" s="1715">
        <f t="shared" si="14"/>
        <v>0</v>
      </c>
      <c r="S296" s="16">
        <v>0</v>
      </c>
      <c r="T296" s="30">
        <v>0</v>
      </c>
      <c r="U296" s="318">
        <v>12100</v>
      </c>
      <c r="V296" s="318">
        <v>0</v>
      </c>
      <c r="W296" s="5" t="s">
        <v>776</v>
      </c>
      <c r="X296" s="5" t="s">
        <v>20</v>
      </c>
      <c r="Y296" s="232" t="s">
        <v>883</v>
      </c>
      <c r="Z296" s="104" t="s">
        <v>828</v>
      </c>
      <c r="AA296" s="104" t="s">
        <v>828</v>
      </c>
    </row>
    <row r="297" spans="1:27" s="429" customFormat="1" ht="38.25" x14ac:dyDescent="0.25">
      <c r="A297" s="64" t="s">
        <v>1092</v>
      </c>
      <c r="B297" s="87" t="s">
        <v>794</v>
      </c>
      <c r="C297" s="5">
        <v>2019</v>
      </c>
      <c r="D297" s="5" t="s">
        <v>801</v>
      </c>
      <c r="E297" s="5" t="s">
        <v>601</v>
      </c>
      <c r="F297" s="5" t="s">
        <v>601</v>
      </c>
      <c r="G297" s="505" t="s">
        <v>602</v>
      </c>
      <c r="H297" s="477">
        <v>2500</v>
      </c>
      <c r="I297" s="63">
        <v>0</v>
      </c>
      <c r="J297" s="1610">
        <v>0</v>
      </c>
      <c r="K297" s="181">
        <v>0</v>
      </c>
      <c r="L297" s="1547">
        <v>200</v>
      </c>
      <c r="M297" s="274">
        <v>0</v>
      </c>
      <c r="N297" s="248">
        <v>2300</v>
      </c>
      <c r="O297" s="1325">
        <v>0</v>
      </c>
      <c r="P297" s="1744">
        <v>2500</v>
      </c>
      <c r="Q297" s="651">
        <v>0</v>
      </c>
      <c r="R297" s="1715">
        <f t="shared" si="14"/>
        <v>2500</v>
      </c>
      <c r="S297" s="16">
        <v>0</v>
      </c>
      <c r="T297" s="30">
        <v>0</v>
      </c>
      <c r="U297" s="318">
        <v>0</v>
      </c>
      <c r="V297" s="318">
        <v>0</v>
      </c>
      <c r="W297" s="5" t="s">
        <v>776</v>
      </c>
      <c r="X297" s="5" t="s">
        <v>20</v>
      </c>
      <c r="Y297" s="232" t="s">
        <v>854</v>
      </c>
      <c r="Z297" s="104" t="s">
        <v>828</v>
      </c>
      <c r="AA297" s="104" t="s">
        <v>828</v>
      </c>
    </row>
    <row r="298" spans="1:27" s="464" customFormat="1" ht="30" x14ac:dyDescent="0.25">
      <c r="A298" s="1326" t="s">
        <v>1093</v>
      </c>
      <c r="B298" s="533" t="s">
        <v>1569</v>
      </c>
      <c r="C298" s="558">
        <v>2019</v>
      </c>
      <c r="D298" s="558" t="s">
        <v>801</v>
      </c>
      <c r="E298" s="558" t="s">
        <v>203</v>
      </c>
      <c r="F298" s="558" t="s">
        <v>203</v>
      </c>
      <c r="G298" s="1327" t="s">
        <v>603</v>
      </c>
      <c r="H298" s="1323">
        <f>320-14.04347</f>
        <v>305.95652999999999</v>
      </c>
      <c r="I298" s="387">
        <v>0</v>
      </c>
      <c r="J298" s="1611">
        <v>320</v>
      </c>
      <c r="K298" s="585">
        <v>305.95652999999999</v>
      </c>
      <c r="L298" s="1548">
        <v>0</v>
      </c>
      <c r="M298" s="1019">
        <v>0</v>
      </c>
      <c r="N298" s="979">
        <v>0</v>
      </c>
      <c r="O298" s="980">
        <v>0</v>
      </c>
      <c r="P298" s="1811">
        <f>320-305.95653</f>
        <v>14.043470000000013</v>
      </c>
      <c r="Q298" s="1809">
        <f>-1*P298</f>
        <v>-14.043470000000013</v>
      </c>
      <c r="R298" s="1736">
        <f t="shared" si="14"/>
        <v>0</v>
      </c>
      <c r="S298" s="562">
        <v>0</v>
      </c>
      <c r="T298" s="566">
        <v>0</v>
      </c>
      <c r="U298" s="1328">
        <v>0</v>
      </c>
      <c r="V298" s="1328">
        <v>0</v>
      </c>
      <c r="W298" s="461" t="s">
        <v>1815</v>
      </c>
      <c r="X298" s="461" t="s">
        <v>866</v>
      </c>
      <c r="Y298" s="799" t="s">
        <v>305</v>
      </c>
      <c r="Z298" s="798" t="s">
        <v>829</v>
      </c>
      <c r="AA298" s="798" t="s">
        <v>829</v>
      </c>
    </row>
    <row r="299" spans="1:27" s="470" customFormat="1" ht="28.5" customHeight="1" x14ac:dyDescent="0.25">
      <c r="A299" s="64" t="s">
        <v>1094</v>
      </c>
      <c r="B299" s="87" t="s">
        <v>794</v>
      </c>
      <c r="C299" s="5">
        <v>2019</v>
      </c>
      <c r="D299" s="5" t="s">
        <v>801</v>
      </c>
      <c r="E299" s="5" t="s">
        <v>604</v>
      </c>
      <c r="F299" s="5" t="s">
        <v>604</v>
      </c>
      <c r="G299" s="505" t="s">
        <v>605</v>
      </c>
      <c r="H299" s="477">
        <v>900</v>
      </c>
      <c r="I299" s="63">
        <v>0</v>
      </c>
      <c r="J299" s="1610">
        <v>0</v>
      </c>
      <c r="K299" s="181">
        <v>0</v>
      </c>
      <c r="L299" s="1553">
        <v>0</v>
      </c>
      <c r="M299" s="1329">
        <v>0</v>
      </c>
      <c r="N299" s="1330">
        <v>0</v>
      </c>
      <c r="O299" s="30">
        <v>900</v>
      </c>
      <c r="P299" s="1744">
        <v>900</v>
      </c>
      <c r="Q299" s="651">
        <v>0</v>
      </c>
      <c r="R299" s="1715">
        <f t="shared" si="14"/>
        <v>900</v>
      </c>
      <c r="S299" s="16">
        <v>0</v>
      </c>
      <c r="T299" s="30">
        <v>0</v>
      </c>
      <c r="U299" s="318">
        <v>0</v>
      </c>
      <c r="V299" s="318">
        <v>0</v>
      </c>
      <c r="W299" s="5" t="s">
        <v>776</v>
      </c>
      <c r="X299" s="5" t="s">
        <v>20</v>
      </c>
      <c r="Y299" s="232" t="s">
        <v>883</v>
      </c>
      <c r="Z299" s="104" t="s">
        <v>828</v>
      </c>
      <c r="AA299" s="104" t="s">
        <v>828</v>
      </c>
    </row>
    <row r="300" spans="1:27" s="429" customFormat="1" ht="38.25" x14ac:dyDescent="0.25">
      <c r="A300" s="64" t="s">
        <v>1095</v>
      </c>
      <c r="B300" s="87" t="s">
        <v>794</v>
      </c>
      <c r="C300" s="5">
        <v>2019</v>
      </c>
      <c r="D300" s="5" t="s">
        <v>801</v>
      </c>
      <c r="E300" s="5" t="s">
        <v>558</v>
      </c>
      <c r="F300" s="5" t="s">
        <v>558</v>
      </c>
      <c r="G300" s="505" t="s">
        <v>606</v>
      </c>
      <c r="H300" s="477">
        <v>3950</v>
      </c>
      <c r="I300" s="63">
        <v>0</v>
      </c>
      <c r="J300" s="1610">
        <v>0</v>
      </c>
      <c r="K300" s="181">
        <v>0</v>
      </c>
      <c r="L300" s="1547">
        <v>0</v>
      </c>
      <c r="M300" s="274">
        <v>0</v>
      </c>
      <c r="N300" s="248">
        <v>0</v>
      </c>
      <c r="O300" s="30">
        <v>0</v>
      </c>
      <c r="P300" s="1744">
        <v>0</v>
      </c>
      <c r="Q300" s="651">
        <v>0</v>
      </c>
      <c r="R300" s="1715">
        <f t="shared" si="14"/>
        <v>0</v>
      </c>
      <c r="S300" s="16">
        <v>0</v>
      </c>
      <c r="T300" s="30">
        <v>0</v>
      </c>
      <c r="U300" s="318">
        <v>3950</v>
      </c>
      <c r="V300" s="318">
        <v>0</v>
      </c>
      <c r="W300" s="5" t="s">
        <v>776</v>
      </c>
      <c r="X300" s="5" t="s">
        <v>20</v>
      </c>
      <c r="Y300" s="232" t="s">
        <v>882</v>
      </c>
      <c r="Z300" s="104" t="s">
        <v>828</v>
      </c>
      <c r="AA300" s="104" t="s">
        <v>828</v>
      </c>
    </row>
    <row r="301" spans="1:27" s="429" customFormat="1" ht="28.5" customHeight="1" x14ac:dyDescent="0.25">
      <c r="A301" s="64" t="s">
        <v>1096</v>
      </c>
      <c r="B301" s="87" t="s">
        <v>885</v>
      </c>
      <c r="C301" s="5">
        <v>2019</v>
      </c>
      <c r="D301" s="5" t="s">
        <v>801</v>
      </c>
      <c r="E301" s="5" t="s">
        <v>607</v>
      </c>
      <c r="F301" s="5" t="s">
        <v>607</v>
      </c>
      <c r="G301" s="505" t="s">
        <v>608</v>
      </c>
      <c r="H301" s="477">
        <v>4285</v>
      </c>
      <c r="I301" s="63">
        <v>0</v>
      </c>
      <c r="J301" s="1610">
        <v>0</v>
      </c>
      <c r="K301" s="181">
        <v>0</v>
      </c>
      <c r="L301" s="1553">
        <v>0</v>
      </c>
      <c r="M301" s="1329">
        <v>0</v>
      </c>
      <c r="N301" s="248">
        <v>2700</v>
      </c>
      <c r="O301" s="30">
        <v>1400</v>
      </c>
      <c r="P301" s="1744">
        <v>4100</v>
      </c>
      <c r="Q301" s="651">
        <v>0</v>
      </c>
      <c r="R301" s="1715">
        <f t="shared" si="14"/>
        <v>4100</v>
      </c>
      <c r="S301" s="16">
        <v>185</v>
      </c>
      <c r="T301" s="30">
        <v>0</v>
      </c>
      <c r="U301" s="318">
        <v>0</v>
      </c>
      <c r="V301" s="318">
        <v>0</v>
      </c>
      <c r="W301" s="5" t="s">
        <v>1131</v>
      </c>
      <c r="X301" s="5" t="s">
        <v>20</v>
      </c>
      <c r="Y301" s="232" t="s">
        <v>883</v>
      </c>
      <c r="Z301" s="104" t="s">
        <v>828</v>
      </c>
      <c r="AA301" s="104" t="s">
        <v>828</v>
      </c>
    </row>
    <row r="302" spans="1:27" s="429" customFormat="1" ht="56.25" customHeight="1" x14ac:dyDescent="0.25">
      <c r="A302" s="64" t="s">
        <v>1097</v>
      </c>
      <c r="B302" s="87" t="s">
        <v>794</v>
      </c>
      <c r="C302" s="5">
        <v>2019</v>
      </c>
      <c r="D302" s="5" t="s">
        <v>801</v>
      </c>
      <c r="E302" s="5" t="s">
        <v>205</v>
      </c>
      <c r="F302" s="5" t="s">
        <v>205</v>
      </c>
      <c r="G302" s="505" t="s">
        <v>609</v>
      </c>
      <c r="H302" s="477">
        <v>950</v>
      </c>
      <c r="I302" s="63">
        <v>0</v>
      </c>
      <c r="J302" s="1610">
        <v>0</v>
      </c>
      <c r="K302" s="181">
        <v>0</v>
      </c>
      <c r="L302" s="1547">
        <v>0</v>
      </c>
      <c r="M302" s="274">
        <v>0</v>
      </c>
      <c r="N302" s="248">
        <v>0</v>
      </c>
      <c r="O302" s="30">
        <v>0</v>
      </c>
      <c r="P302" s="1744">
        <v>0</v>
      </c>
      <c r="Q302" s="651">
        <v>0</v>
      </c>
      <c r="R302" s="1715">
        <f t="shared" si="14"/>
        <v>0</v>
      </c>
      <c r="S302" s="16">
        <v>0</v>
      </c>
      <c r="T302" s="30">
        <v>0</v>
      </c>
      <c r="U302" s="318">
        <v>0</v>
      </c>
      <c r="V302" s="318">
        <v>950</v>
      </c>
      <c r="W302" s="5" t="s">
        <v>776</v>
      </c>
      <c r="X302" s="5" t="s">
        <v>20</v>
      </c>
      <c r="Y302" s="232" t="s">
        <v>882</v>
      </c>
      <c r="Z302" s="104" t="s">
        <v>828</v>
      </c>
      <c r="AA302" s="104" t="s">
        <v>828</v>
      </c>
    </row>
    <row r="303" spans="1:27" s="429" customFormat="1" ht="38.25" x14ac:dyDescent="0.25">
      <c r="A303" s="1287" t="s">
        <v>1098</v>
      </c>
      <c r="B303" s="1288" t="s">
        <v>794</v>
      </c>
      <c r="C303" s="1289">
        <v>2019</v>
      </c>
      <c r="D303" s="237" t="s">
        <v>801</v>
      </c>
      <c r="E303" s="237" t="s">
        <v>12</v>
      </c>
      <c r="F303" s="237" t="s">
        <v>610</v>
      </c>
      <c r="G303" s="1331" t="s">
        <v>611</v>
      </c>
      <c r="H303" s="1332">
        <v>8500</v>
      </c>
      <c r="I303" s="283">
        <v>0</v>
      </c>
      <c r="J303" s="1610">
        <v>0</v>
      </c>
      <c r="K303" s="181">
        <v>0</v>
      </c>
      <c r="L303" s="1553">
        <v>0</v>
      </c>
      <c r="M303" s="1329">
        <v>0</v>
      </c>
      <c r="N303" s="1330">
        <v>1000</v>
      </c>
      <c r="O303" s="1325">
        <v>0</v>
      </c>
      <c r="P303" s="1744">
        <v>1000</v>
      </c>
      <c r="Q303" s="651">
        <v>0</v>
      </c>
      <c r="R303" s="1715">
        <f t="shared" si="14"/>
        <v>1000</v>
      </c>
      <c r="S303" s="239">
        <v>0</v>
      </c>
      <c r="T303" s="1292">
        <v>0</v>
      </c>
      <c r="U303" s="1333">
        <v>7500</v>
      </c>
      <c r="V303" s="1333">
        <v>0</v>
      </c>
      <c r="W303" s="237" t="s">
        <v>994</v>
      </c>
      <c r="X303" s="237" t="s">
        <v>20</v>
      </c>
      <c r="Y303" s="292" t="s">
        <v>980</v>
      </c>
      <c r="Z303" s="281" t="s">
        <v>828</v>
      </c>
      <c r="AA303" s="281" t="s">
        <v>828</v>
      </c>
    </row>
    <row r="304" spans="1:27" s="464" customFormat="1" ht="42.75" customHeight="1" x14ac:dyDescent="0.25">
      <c r="A304" s="1338" t="s">
        <v>1099</v>
      </c>
      <c r="B304" s="557" t="s">
        <v>1429</v>
      </c>
      <c r="C304" s="578">
        <v>2019</v>
      </c>
      <c r="D304" s="558" t="s">
        <v>801</v>
      </c>
      <c r="E304" s="558" t="s">
        <v>610</v>
      </c>
      <c r="F304" s="558" t="s">
        <v>610</v>
      </c>
      <c r="G304" s="1327" t="s">
        <v>886</v>
      </c>
      <c r="H304" s="1465">
        <v>449.60700000000003</v>
      </c>
      <c r="I304" s="387">
        <v>0</v>
      </c>
      <c r="J304" s="1611">
        <v>450</v>
      </c>
      <c r="K304" s="585">
        <v>449.60700000000003</v>
      </c>
      <c r="L304" s="1548">
        <v>0</v>
      </c>
      <c r="M304" s="1336">
        <v>0</v>
      </c>
      <c r="N304" s="1337">
        <v>0</v>
      </c>
      <c r="O304" s="566">
        <v>0</v>
      </c>
      <c r="P304" s="1826">
        <f>450-449.607</f>
        <v>0.39299999999997226</v>
      </c>
      <c r="Q304" s="1809">
        <f>-1*P304</f>
        <v>-0.39299999999997226</v>
      </c>
      <c r="R304" s="1721">
        <f t="shared" si="14"/>
        <v>0</v>
      </c>
      <c r="S304" s="562">
        <v>0</v>
      </c>
      <c r="T304" s="566">
        <v>0</v>
      </c>
      <c r="U304" s="1328">
        <v>0</v>
      </c>
      <c r="V304" s="1328">
        <v>0</v>
      </c>
      <c r="W304" s="578" t="s">
        <v>1845</v>
      </c>
      <c r="X304" s="558" t="s">
        <v>866</v>
      </c>
      <c r="Y304" s="565" t="s">
        <v>305</v>
      </c>
      <c r="Z304" s="564" t="s">
        <v>829</v>
      </c>
      <c r="AA304" s="564" t="s">
        <v>829</v>
      </c>
    </row>
    <row r="305" spans="1:27" s="429" customFormat="1" ht="29.25" customHeight="1" x14ac:dyDescent="0.25">
      <c r="A305" s="1287" t="s">
        <v>1100</v>
      </c>
      <c r="B305" s="1288" t="s">
        <v>794</v>
      </c>
      <c r="C305" s="1289">
        <v>2019</v>
      </c>
      <c r="D305" s="237" t="s">
        <v>801</v>
      </c>
      <c r="E305" s="237" t="s">
        <v>612</v>
      </c>
      <c r="F305" s="237" t="s">
        <v>612</v>
      </c>
      <c r="G305" s="1331" t="s">
        <v>613</v>
      </c>
      <c r="H305" s="1332">
        <v>460</v>
      </c>
      <c r="I305" s="283">
        <v>0</v>
      </c>
      <c r="J305" s="1610">
        <v>0</v>
      </c>
      <c r="K305" s="181">
        <v>0</v>
      </c>
      <c r="L305" s="1547">
        <v>0</v>
      </c>
      <c r="M305" s="1318">
        <v>0</v>
      </c>
      <c r="N305" s="1322">
        <v>0</v>
      </c>
      <c r="O305" s="1292">
        <v>0</v>
      </c>
      <c r="P305" s="1744">
        <v>0</v>
      </c>
      <c r="Q305" s="651">
        <v>0</v>
      </c>
      <c r="R305" s="1715">
        <f t="shared" si="14"/>
        <v>0</v>
      </c>
      <c r="S305" s="239">
        <v>0</v>
      </c>
      <c r="T305" s="1292">
        <v>0</v>
      </c>
      <c r="U305" s="1333">
        <v>460</v>
      </c>
      <c r="V305" s="1333">
        <v>0</v>
      </c>
      <c r="W305" s="237" t="s">
        <v>776</v>
      </c>
      <c r="X305" s="237" t="s">
        <v>20</v>
      </c>
      <c r="Y305" s="292" t="s">
        <v>988</v>
      </c>
      <c r="Z305" s="281" t="s">
        <v>828</v>
      </c>
      <c r="AA305" s="281" t="s">
        <v>828</v>
      </c>
    </row>
    <row r="306" spans="1:27" s="429" customFormat="1" ht="29.25" customHeight="1" x14ac:dyDescent="0.25">
      <c r="A306" s="1287" t="s">
        <v>1101</v>
      </c>
      <c r="B306" s="1334" t="s">
        <v>794</v>
      </c>
      <c r="C306" s="1289">
        <v>2019</v>
      </c>
      <c r="D306" s="237" t="s">
        <v>801</v>
      </c>
      <c r="E306" s="237" t="s">
        <v>614</v>
      </c>
      <c r="F306" s="237" t="s">
        <v>614</v>
      </c>
      <c r="G306" s="1331" t="s">
        <v>615</v>
      </c>
      <c r="H306" s="1332">
        <v>1633</v>
      </c>
      <c r="I306" s="283">
        <v>0</v>
      </c>
      <c r="J306" s="1610">
        <v>0</v>
      </c>
      <c r="K306" s="181">
        <v>0</v>
      </c>
      <c r="L306" s="1547">
        <v>0</v>
      </c>
      <c r="M306" s="1318">
        <v>0</v>
      </c>
      <c r="N306" s="1322">
        <v>0</v>
      </c>
      <c r="O306" s="1292">
        <v>0</v>
      </c>
      <c r="P306" s="1744">
        <v>0</v>
      </c>
      <c r="Q306" s="651">
        <v>0</v>
      </c>
      <c r="R306" s="1715">
        <f t="shared" si="14"/>
        <v>0</v>
      </c>
      <c r="S306" s="239">
        <v>0</v>
      </c>
      <c r="T306" s="1292">
        <v>0</v>
      </c>
      <c r="U306" s="1333">
        <v>1633</v>
      </c>
      <c r="V306" s="1333">
        <v>0</v>
      </c>
      <c r="W306" s="237" t="s">
        <v>776</v>
      </c>
      <c r="X306" s="237" t="s">
        <v>20</v>
      </c>
      <c r="Y306" s="292" t="s">
        <v>980</v>
      </c>
      <c r="Z306" s="281" t="s">
        <v>828</v>
      </c>
      <c r="AA306" s="281" t="s">
        <v>828</v>
      </c>
    </row>
    <row r="307" spans="1:27" s="429" customFormat="1" ht="29.25" customHeight="1" x14ac:dyDescent="0.25">
      <c r="A307" s="1287" t="s">
        <v>1102</v>
      </c>
      <c r="B307" s="1334" t="s">
        <v>794</v>
      </c>
      <c r="C307" s="1289">
        <v>2019</v>
      </c>
      <c r="D307" s="237" t="s">
        <v>801</v>
      </c>
      <c r="E307" s="237" t="s">
        <v>616</v>
      </c>
      <c r="F307" s="237" t="s">
        <v>616</v>
      </c>
      <c r="G307" s="1331" t="s">
        <v>617</v>
      </c>
      <c r="H307" s="1332">
        <v>3450</v>
      </c>
      <c r="I307" s="283">
        <v>0</v>
      </c>
      <c r="J307" s="1610">
        <v>0</v>
      </c>
      <c r="K307" s="181">
        <v>0</v>
      </c>
      <c r="L307" s="1547">
        <v>0</v>
      </c>
      <c r="M307" s="1318">
        <v>0</v>
      </c>
      <c r="N307" s="1322">
        <v>0</v>
      </c>
      <c r="O307" s="1292">
        <v>0</v>
      </c>
      <c r="P307" s="1744">
        <v>0</v>
      </c>
      <c r="Q307" s="651">
        <v>0</v>
      </c>
      <c r="R307" s="1715">
        <f t="shared" si="14"/>
        <v>0</v>
      </c>
      <c r="S307" s="239">
        <v>0</v>
      </c>
      <c r="T307" s="1292">
        <v>800</v>
      </c>
      <c r="U307" s="1333">
        <v>0</v>
      </c>
      <c r="V307" s="1333">
        <v>2650</v>
      </c>
      <c r="W307" s="237" t="s">
        <v>912</v>
      </c>
      <c r="X307" s="237" t="s">
        <v>20</v>
      </c>
      <c r="Y307" s="292" t="s">
        <v>987</v>
      </c>
      <c r="Z307" s="281" t="s">
        <v>828</v>
      </c>
      <c r="AA307" s="281" t="s">
        <v>828</v>
      </c>
    </row>
    <row r="308" spans="1:27" s="464" customFormat="1" ht="33" customHeight="1" x14ac:dyDescent="0.25">
      <c r="A308" s="1338" t="s">
        <v>1103</v>
      </c>
      <c r="B308" s="1326" t="s">
        <v>1228</v>
      </c>
      <c r="C308" s="578">
        <v>2019</v>
      </c>
      <c r="D308" s="558" t="s">
        <v>801</v>
      </c>
      <c r="E308" s="558" t="s">
        <v>618</v>
      </c>
      <c r="F308" s="558" t="s">
        <v>618</v>
      </c>
      <c r="G308" s="1327" t="s">
        <v>704</v>
      </c>
      <c r="H308" s="1335">
        <v>3664.9795399999998</v>
      </c>
      <c r="I308" s="387">
        <v>0</v>
      </c>
      <c r="J308" s="1611">
        <v>3900</v>
      </c>
      <c r="K308" s="585">
        <v>3664.9795400000003</v>
      </c>
      <c r="L308" s="1548">
        <v>0</v>
      </c>
      <c r="M308" s="1019">
        <v>0</v>
      </c>
      <c r="N308" s="979">
        <v>0</v>
      </c>
      <c r="O308" s="980">
        <v>0</v>
      </c>
      <c r="P308" s="1811">
        <v>235.02046000000001</v>
      </c>
      <c r="Q308" s="1809">
        <f>-1*P308</f>
        <v>-235.02046000000001</v>
      </c>
      <c r="R308" s="1721">
        <f t="shared" si="14"/>
        <v>0</v>
      </c>
      <c r="S308" s="562">
        <v>0</v>
      </c>
      <c r="T308" s="566">
        <v>0</v>
      </c>
      <c r="U308" s="1328">
        <v>0</v>
      </c>
      <c r="V308" s="1328">
        <v>0</v>
      </c>
      <c r="W308" s="578" t="s">
        <v>1816</v>
      </c>
      <c r="X308" s="558" t="s">
        <v>866</v>
      </c>
      <c r="Y308" s="565" t="s">
        <v>562</v>
      </c>
      <c r="Z308" s="572" t="s">
        <v>829</v>
      </c>
      <c r="AA308" s="572" t="s">
        <v>829</v>
      </c>
    </row>
    <row r="309" spans="1:27" s="464" customFormat="1" ht="29.25" customHeight="1" x14ac:dyDescent="0.25">
      <c r="A309" s="1338" t="s">
        <v>1104</v>
      </c>
      <c r="B309" s="728" t="s">
        <v>1846</v>
      </c>
      <c r="C309" s="578">
        <v>2019</v>
      </c>
      <c r="D309" s="558" t="s">
        <v>801</v>
      </c>
      <c r="E309" s="558" t="s">
        <v>213</v>
      </c>
      <c r="F309" s="558" t="s">
        <v>213</v>
      </c>
      <c r="G309" s="1327" t="s">
        <v>619</v>
      </c>
      <c r="H309" s="1465">
        <v>1197.9000000000001</v>
      </c>
      <c r="I309" s="387">
        <v>0</v>
      </c>
      <c r="J309" s="1611">
        <v>1200</v>
      </c>
      <c r="K309" s="585">
        <v>1197.9000000000001</v>
      </c>
      <c r="L309" s="1548">
        <v>0</v>
      </c>
      <c r="M309" s="1019">
        <v>0</v>
      </c>
      <c r="N309" s="979">
        <v>0</v>
      </c>
      <c r="O309" s="980">
        <v>0</v>
      </c>
      <c r="P309" s="1826">
        <f>1200-1197.9</f>
        <v>2.0999999999999091</v>
      </c>
      <c r="Q309" s="1809">
        <f>-1*P309</f>
        <v>-2.0999999999999091</v>
      </c>
      <c r="R309" s="1721">
        <f t="shared" si="14"/>
        <v>0</v>
      </c>
      <c r="S309" s="562">
        <v>0</v>
      </c>
      <c r="T309" s="566">
        <v>0</v>
      </c>
      <c r="U309" s="1328">
        <v>0</v>
      </c>
      <c r="V309" s="1328">
        <v>0</v>
      </c>
      <c r="W309" s="578" t="s">
        <v>1829</v>
      </c>
      <c r="X309" s="558" t="s">
        <v>866</v>
      </c>
      <c r="Y309" s="565" t="s">
        <v>305</v>
      </c>
      <c r="Z309" s="564" t="s">
        <v>829</v>
      </c>
      <c r="AA309" s="564" t="s">
        <v>829</v>
      </c>
    </row>
    <row r="310" spans="1:27" s="429" customFormat="1" ht="29.25" customHeight="1" x14ac:dyDescent="0.25">
      <c r="A310" s="1287" t="s">
        <v>1105</v>
      </c>
      <c r="B310" s="1334" t="s">
        <v>794</v>
      </c>
      <c r="C310" s="1289">
        <v>2019</v>
      </c>
      <c r="D310" s="237" t="s">
        <v>801</v>
      </c>
      <c r="E310" s="237" t="s">
        <v>620</v>
      </c>
      <c r="F310" s="237" t="s">
        <v>620</v>
      </c>
      <c r="G310" s="1331" t="s">
        <v>621</v>
      </c>
      <c r="H310" s="1332">
        <v>3000</v>
      </c>
      <c r="I310" s="283">
        <v>0</v>
      </c>
      <c r="J310" s="1610">
        <v>0</v>
      </c>
      <c r="K310" s="181">
        <v>0</v>
      </c>
      <c r="L310" s="1550">
        <v>0</v>
      </c>
      <c r="M310" s="1318">
        <v>0</v>
      </c>
      <c r="N310" s="1322">
        <v>0</v>
      </c>
      <c r="O310" s="1292">
        <v>0</v>
      </c>
      <c r="P310" s="1744">
        <v>0</v>
      </c>
      <c r="Q310" s="651">
        <v>0</v>
      </c>
      <c r="R310" s="1715">
        <f t="shared" si="14"/>
        <v>0</v>
      </c>
      <c r="S310" s="239">
        <v>0</v>
      </c>
      <c r="T310" s="1292">
        <v>0</v>
      </c>
      <c r="U310" s="1333">
        <v>3000</v>
      </c>
      <c r="V310" s="1333">
        <v>0</v>
      </c>
      <c r="W310" s="237" t="s">
        <v>776</v>
      </c>
      <c r="X310" s="237" t="s">
        <v>20</v>
      </c>
      <c r="Y310" s="292" t="s">
        <v>988</v>
      </c>
      <c r="Z310" s="281" t="s">
        <v>828</v>
      </c>
      <c r="AA310" s="281" t="s">
        <v>828</v>
      </c>
    </row>
    <row r="311" spans="1:27" s="429" customFormat="1" ht="41.25" customHeight="1" x14ac:dyDescent="0.25">
      <c r="A311" s="1287" t="s">
        <v>1106</v>
      </c>
      <c r="B311" s="1334" t="s">
        <v>794</v>
      </c>
      <c r="C311" s="1289">
        <v>2019</v>
      </c>
      <c r="D311" s="237" t="s">
        <v>801</v>
      </c>
      <c r="E311" s="237" t="s">
        <v>216</v>
      </c>
      <c r="F311" s="237" t="s">
        <v>216</v>
      </c>
      <c r="G311" s="1331" t="s">
        <v>622</v>
      </c>
      <c r="H311" s="1332">
        <v>1600</v>
      </c>
      <c r="I311" s="283">
        <v>0</v>
      </c>
      <c r="J311" s="1610">
        <v>0</v>
      </c>
      <c r="K311" s="181">
        <v>0</v>
      </c>
      <c r="L311" s="1550">
        <v>0</v>
      </c>
      <c r="M311" s="1318">
        <v>0</v>
      </c>
      <c r="N311" s="1322">
        <v>0</v>
      </c>
      <c r="O311" s="1292">
        <v>0</v>
      </c>
      <c r="P311" s="1744">
        <v>0</v>
      </c>
      <c r="Q311" s="651">
        <v>0</v>
      </c>
      <c r="R311" s="1715">
        <f t="shared" si="14"/>
        <v>0</v>
      </c>
      <c r="S311" s="239">
        <v>0</v>
      </c>
      <c r="T311" s="1292">
        <v>0</v>
      </c>
      <c r="U311" s="318">
        <v>1600</v>
      </c>
      <c r="V311" s="1333">
        <v>0</v>
      </c>
      <c r="W311" s="237" t="s">
        <v>1817</v>
      </c>
      <c r="X311" s="237" t="s">
        <v>20</v>
      </c>
      <c r="Y311" s="292" t="s">
        <v>845</v>
      </c>
      <c r="Z311" s="281" t="s">
        <v>828</v>
      </c>
      <c r="AA311" s="281" t="s">
        <v>828</v>
      </c>
    </row>
    <row r="312" spans="1:27" s="429" customFormat="1" ht="56.25" customHeight="1" x14ac:dyDescent="0.25">
      <c r="A312" s="1287" t="s">
        <v>1107</v>
      </c>
      <c r="B312" s="1334" t="s">
        <v>794</v>
      </c>
      <c r="C312" s="1289">
        <v>2019</v>
      </c>
      <c r="D312" s="237" t="s">
        <v>801</v>
      </c>
      <c r="E312" s="237" t="s">
        <v>623</v>
      </c>
      <c r="F312" s="237" t="s">
        <v>623</v>
      </c>
      <c r="G312" s="1331" t="s">
        <v>624</v>
      </c>
      <c r="H312" s="1332">
        <v>3145</v>
      </c>
      <c r="I312" s="283">
        <v>0</v>
      </c>
      <c r="J312" s="1610">
        <v>0</v>
      </c>
      <c r="K312" s="181">
        <v>0</v>
      </c>
      <c r="L312" s="1550">
        <v>0</v>
      </c>
      <c r="M312" s="274">
        <v>3145</v>
      </c>
      <c r="N312" s="1322">
        <v>0</v>
      </c>
      <c r="O312" s="1292">
        <v>0</v>
      </c>
      <c r="P312" s="1744">
        <v>3145</v>
      </c>
      <c r="Q312" s="651">
        <v>0</v>
      </c>
      <c r="R312" s="1715">
        <f t="shared" si="14"/>
        <v>3145</v>
      </c>
      <c r="S312" s="239">
        <v>0</v>
      </c>
      <c r="T312" s="1292">
        <v>0</v>
      </c>
      <c r="U312" s="1333">
        <v>0</v>
      </c>
      <c r="V312" s="1333">
        <v>0</v>
      </c>
      <c r="W312" s="237" t="s">
        <v>916</v>
      </c>
      <c r="X312" s="237" t="s">
        <v>20</v>
      </c>
      <c r="Y312" s="292" t="s">
        <v>883</v>
      </c>
      <c r="Z312" s="281" t="s">
        <v>828</v>
      </c>
      <c r="AA312" s="281" t="s">
        <v>828</v>
      </c>
    </row>
    <row r="313" spans="1:27" s="464" customFormat="1" ht="38.25" x14ac:dyDescent="0.25">
      <c r="A313" s="728" t="s">
        <v>1108</v>
      </c>
      <c r="B313" s="728" t="s">
        <v>1430</v>
      </c>
      <c r="C313" s="461">
        <v>2019</v>
      </c>
      <c r="D313" s="461" t="s">
        <v>801</v>
      </c>
      <c r="E313" s="461" t="s">
        <v>625</v>
      </c>
      <c r="F313" s="461" t="s">
        <v>625</v>
      </c>
      <c r="G313" s="1134" t="s">
        <v>626</v>
      </c>
      <c r="H313" s="1323">
        <v>499.14</v>
      </c>
      <c r="I313" s="387">
        <v>0</v>
      </c>
      <c r="J313" s="1611">
        <v>500</v>
      </c>
      <c r="K313" s="585">
        <v>499.14</v>
      </c>
      <c r="L313" s="571">
        <v>0</v>
      </c>
      <c r="M313" s="1336">
        <v>0</v>
      </c>
      <c r="N313" s="1337">
        <v>0</v>
      </c>
      <c r="O313" s="566">
        <v>0</v>
      </c>
      <c r="P313" s="1811">
        <v>0.86</v>
      </c>
      <c r="Q313" s="1809">
        <f>-1*P313</f>
        <v>-0.86</v>
      </c>
      <c r="R313" s="1721">
        <f t="shared" si="14"/>
        <v>0</v>
      </c>
      <c r="S313" s="562">
        <v>0</v>
      </c>
      <c r="T313" s="566">
        <v>0</v>
      </c>
      <c r="U313" s="1328">
        <v>0</v>
      </c>
      <c r="V313" s="1328">
        <v>0</v>
      </c>
      <c r="W313" s="558" t="s">
        <v>1818</v>
      </c>
      <c r="X313" s="558" t="s">
        <v>866</v>
      </c>
      <c r="Y313" s="565" t="s">
        <v>305</v>
      </c>
      <c r="Z313" s="572" t="s">
        <v>829</v>
      </c>
      <c r="AA313" s="572" t="s">
        <v>829</v>
      </c>
    </row>
    <row r="314" spans="1:27" s="429" customFormat="1" ht="38.25" x14ac:dyDescent="0.25">
      <c r="A314" s="1287" t="s">
        <v>1109</v>
      </c>
      <c r="B314" s="1334" t="s">
        <v>794</v>
      </c>
      <c r="C314" s="1289">
        <v>2019</v>
      </c>
      <c r="D314" s="237" t="s">
        <v>801</v>
      </c>
      <c r="E314" s="237" t="s">
        <v>625</v>
      </c>
      <c r="F314" s="237" t="s">
        <v>625</v>
      </c>
      <c r="G314" s="1331" t="s">
        <v>627</v>
      </c>
      <c r="H314" s="1332">
        <v>8750</v>
      </c>
      <c r="I314" s="283">
        <v>0</v>
      </c>
      <c r="J314" s="1610">
        <v>0</v>
      </c>
      <c r="K314" s="181">
        <v>0</v>
      </c>
      <c r="L314" s="1553">
        <v>0</v>
      </c>
      <c r="M314" s="1329">
        <v>0</v>
      </c>
      <c r="N314" s="1330">
        <v>0</v>
      </c>
      <c r="O314" s="1325">
        <v>605</v>
      </c>
      <c r="P314" s="1744">
        <v>605</v>
      </c>
      <c r="Q314" s="651">
        <v>0</v>
      </c>
      <c r="R314" s="1715">
        <f t="shared" si="14"/>
        <v>605</v>
      </c>
      <c r="S314" s="239">
        <v>0</v>
      </c>
      <c r="T314" s="1292">
        <v>0</v>
      </c>
      <c r="U314" s="1333">
        <v>0</v>
      </c>
      <c r="V314" s="1333">
        <v>8145</v>
      </c>
      <c r="W314" s="237" t="s">
        <v>776</v>
      </c>
      <c r="X314" s="237" t="s">
        <v>20</v>
      </c>
      <c r="Y314" s="292" t="s">
        <v>883</v>
      </c>
      <c r="Z314" s="281" t="s">
        <v>828</v>
      </c>
      <c r="AA314" s="281" t="s">
        <v>828</v>
      </c>
    </row>
    <row r="315" spans="1:27" s="429" customFormat="1" ht="25.5" x14ac:dyDescent="0.25">
      <c r="A315" s="1287" t="s">
        <v>1110</v>
      </c>
      <c r="B315" s="1334" t="s">
        <v>794</v>
      </c>
      <c r="C315" s="1289">
        <v>2019</v>
      </c>
      <c r="D315" s="237" t="s">
        <v>801</v>
      </c>
      <c r="E315" s="5" t="s">
        <v>250</v>
      </c>
      <c r="F315" s="237" t="s">
        <v>250</v>
      </c>
      <c r="G315" s="1331" t="s">
        <v>705</v>
      </c>
      <c r="H315" s="1332">
        <v>1100</v>
      </c>
      <c r="I315" s="283">
        <v>0</v>
      </c>
      <c r="J315" s="1610">
        <v>0</v>
      </c>
      <c r="K315" s="181">
        <v>0</v>
      </c>
      <c r="L315" s="1550">
        <v>0</v>
      </c>
      <c r="M315" s="1318">
        <v>0</v>
      </c>
      <c r="N315" s="1322">
        <v>0</v>
      </c>
      <c r="O315" s="1292">
        <v>0</v>
      </c>
      <c r="P315" s="1744">
        <v>0</v>
      </c>
      <c r="Q315" s="651">
        <v>0</v>
      </c>
      <c r="R315" s="1715">
        <f t="shared" si="14"/>
        <v>0</v>
      </c>
      <c r="S315" s="239">
        <v>0</v>
      </c>
      <c r="T315" s="1292">
        <v>0</v>
      </c>
      <c r="U315" s="1333">
        <v>1100</v>
      </c>
      <c r="V315" s="1333">
        <v>0</v>
      </c>
      <c r="W315" s="237" t="s">
        <v>776</v>
      </c>
      <c r="X315" s="237" t="s">
        <v>20</v>
      </c>
      <c r="Y315" s="292" t="s">
        <v>722</v>
      </c>
      <c r="Z315" s="281" t="s">
        <v>828</v>
      </c>
      <c r="AA315" s="281" t="s">
        <v>828</v>
      </c>
    </row>
    <row r="316" spans="1:27" s="429" customFormat="1" ht="25.5" x14ac:dyDescent="0.25">
      <c r="A316" s="1287" t="s">
        <v>1111</v>
      </c>
      <c r="B316" s="1334" t="s">
        <v>794</v>
      </c>
      <c r="C316" s="1289">
        <v>2019</v>
      </c>
      <c r="D316" s="237" t="s">
        <v>801</v>
      </c>
      <c r="E316" s="237" t="s">
        <v>628</v>
      </c>
      <c r="F316" s="237" t="s">
        <v>628</v>
      </c>
      <c r="G316" s="1331" t="s">
        <v>629</v>
      </c>
      <c r="H316" s="1332">
        <v>1200</v>
      </c>
      <c r="I316" s="283">
        <v>0</v>
      </c>
      <c r="J316" s="1610">
        <v>0</v>
      </c>
      <c r="K316" s="181">
        <v>0</v>
      </c>
      <c r="L316" s="1550">
        <v>0</v>
      </c>
      <c r="M316" s="1318">
        <v>0</v>
      </c>
      <c r="N316" s="1322">
        <v>0</v>
      </c>
      <c r="O316" s="1292">
        <v>0</v>
      </c>
      <c r="P316" s="1744">
        <v>0</v>
      </c>
      <c r="Q316" s="651">
        <v>0</v>
      </c>
      <c r="R316" s="1715">
        <f t="shared" si="14"/>
        <v>0</v>
      </c>
      <c r="S316" s="239">
        <v>0</v>
      </c>
      <c r="T316" s="1292">
        <v>0</v>
      </c>
      <c r="U316" s="1333">
        <v>1200</v>
      </c>
      <c r="V316" s="1333">
        <v>0</v>
      </c>
      <c r="W316" s="237" t="s">
        <v>776</v>
      </c>
      <c r="X316" s="237" t="s">
        <v>20</v>
      </c>
      <c r="Y316" s="292" t="s">
        <v>883</v>
      </c>
      <c r="Z316" s="281" t="s">
        <v>828</v>
      </c>
      <c r="AA316" s="281" t="s">
        <v>828</v>
      </c>
    </row>
    <row r="317" spans="1:27" s="429" customFormat="1" ht="38.25" x14ac:dyDescent="0.25">
      <c r="A317" s="64" t="s">
        <v>1112</v>
      </c>
      <c r="B317" s="64" t="s">
        <v>794</v>
      </c>
      <c r="C317" s="5">
        <v>2019</v>
      </c>
      <c r="D317" s="5" t="s">
        <v>801</v>
      </c>
      <c r="E317" s="5" t="s">
        <v>631</v>
      </c>
      <c r="F317" s="5" t="s">
        <v>631</v>
      </c>
      <c r="G317" s="505" t="s">
        <v>632</v>
      </c>
      <c r="H317" s="477">
        <v>4847.75</v>
      </c>
      <c r="I317" s="63">
        <v>0</v>
      </c>
      <c r="J317" s="1610">
        <v>0</v>
      </c>
      <c r="K317" s="181">
        <v>0</v>
      </c>
      <c r="L317" s="1547">
        <v>0</v>
      </c>
      <c r="M317" s="274">
        <v>0</v>
      </c>
      <c r="N317" s="248">
        <v>0</v>
      </c>
      <c r="O317" s="30">
        <v>0</v>
      </c>
      <c r="P317" s="1744">
        <v>0</v>
      </c>
      <c r="Q317" s="651">
        <v>0</v>
      </c>
      <c r="R317" s="1715">
        <f t="shared" si="14"/>
        <v>0</v>
      </c>
      <c r="S317" s="16">
        <v>0</v>
      </c>
      <c r="T317" s="30">
        <v>2073.79</v>
      </c>
      <c r="U317" s="318">
        <v>2773.96</v>
      </c>
      <c r="V317" s="318">
        <v>0</v>
      </c>
      <c r="W317" s="5" t="s">
        <v>920</v>
      </c>
      <c r="X317" s="5" t="s">
        <v>20</v>
      </c>
      <c r="Y317" s="232" t="s">
        <v>882</v>
      </c>
      <c r="Z317" s="104" t="s">
        <v>828</v>
      </c>
      <c r="AA317" s="104" t="s">
        <v>828</v>
      </c>
    </row>
    <row r="318" spans="1:27" s="464" customFormat="1" ht="25.5" x14ac:dyDescent="0.25">
      <c r="A318" s="728" t="s">
        <v>1113</v>
      </c>
      <c r="B318" s="1338" t="s">
        <v>1565</v>
      </c>
      <c r="C318" s="461">
        <v>2019</v>
      </c>
      <c r="D318" s="461" t="s">
        <v>801</v>
      </c>
      <c r="E318" s="461" t="s">
        <v>633</v>
      </c>
      <c r="F318" s="461" t="s">
        <v>634</v>
      </c>
      <c r="G318" s="1339" t="s">
        <v>635</v>
      </c>
      <c r="H318" s="462">
        <v>897.52200000000005</v>
      </c>
      <c r="I318" s="1242">
        <v>0</v>
      </c>
      <c r="J318" s="1611">
        <v>898.97</v>
      </c>
      <c r="K318" s="585">
        <v>897.52200000000005</v>
      </c>
      <c r="L318" s="1548">
        <v>0</v>
      </c>
      <c r="M318" s="1019">
        <v>0</v>
      </c>
      <c r="N318" s="979">
        <v>0</v>
      </c>
      <c r="O318" s="980">
        <v>0</v>
      </c>
      <c r="P318" s="1811">
        <v>1.448</v>
      </c>
      <c r="Q318" s="1809">
        <f>P318*-1</f>
        <v>-1.448</v>
      </c>
      <c r="R318" s="1721">
        <f t="shared" si="14"/>
        <v>0</v>
      </c>
      <c r="S318" s="732">
        <v>0</v>
      </c>
      <c r="T318" s="980">
        <v>0</v>
      </c>
      <c r="U318" s="1020">
        <v>0</v>
      </c>
      <c r="V318" s="1020">
        <v>0</v>
      </c>
      <c r="W318" s="461" t="s">
        <v>1818</v>
      </c>
      <c r="X318" s="578" t="s">
        <v>866</v>
      </c>
      <c r="Y318" s="1340" t="s">
        <v>305</v>
      </c>
      <c r="Z318" s="572" t="s">
        <v>829</v>
      </c>
      <c r="AA318" s="798" t="s">
        <v>829</v>
      </c>
    </row>
    <row r="319" spans="1:27" s="429" customFormat="1" ht="25.5" x14ac:dyDescent="0.25">
      <c r="A319" s="64" t="s">
        <v>1114</v>
      </c>
      <c r="B319" s="64" t="s">
        <v>794</v>
      </c>
      <c r="C319" s="5">
        <v>2019</v>
      </c>
      <c r="D319" s="5" t="s">
        <v>801</v>
      </c>
      <c r="E319" s="5" t="s">
        <v>12</v>
      </c>
      <c r="F319" s="5" t="s">
        <v>636</v>
      </c>
      <c r="G319" s="505" t="s">
        <v>637</v>
      </c>
      <c r="H319" s="477">
        <v>18000</v>
      </c>
      <c r="I319" s="63">
        <v>0</v>
      </c>
      <c r="J319" s="1610">
        <v>0</v>
      </c>
      <c r="K319" s="181">
        <v>0</v>
      </c>
      <c r="L319" s="1547">
        <v>0</v>
      </c>
      <c r="M319" s="274">
        <v>0</v>
      </c>
      <c r="N319" s="248">
        <v>0</v>
      </c>
      <c r="O319" s="30">
        <v>0</v>
      </c>
      <c r="P319" s="1744">
        <v>0</v>
      </c>
      <c r="Q319" s="651">
        <v>0</v>
      </c>
      <c r="R319" s="1715">
        <f t="shared" si="14"/>
        <v>0</v>
      </c>
      <c r="S319" s="16">
        <v>0</v>
      </c>
      <c r="T319" s="30">
        <v>0</v>
      </c>
      <c r="U319" s="318">
        <v>0</v>
      </c>
      <c r="V319" s="318">
        <v>18000</v>
      </c>
      <c r="W319" s="5" t="s">
        <v>776</v>
      </c>
      <c r="X319" s="5" t="s">
        <v>20</v>
      </c>
      <c r="Y319" s="232" t="s">
        <v>981</v>
      </c>
      <c r="Z319" s="104" t="s">
        <v>828</v>
      </c>
      <c r="AA319" s="104" t="s">
        <v>828</v>
      </c>
    </row>
    <row r="320" spans="1:27" s="429" customFormat="1" ht="25.5" x14ac:dyDescent="0.25">
      <c r="A320" s="64" t="s">
        <v>1115</v>
      </c>
      <c r="B320" s="64" t="s">
        <v>794</v>
      </c>
      <c r="C320" s="5">
        <v>2019</v>
      </c>
      <c r="D320" s="5" t="s">
        <v>801</v>
      </c>
      <c r="E320" s="5" t="s">
        <v>638</v>
      </c>
      <c r="F320" s="5" t="s">
        <v>638</v>
      </c>
      <c r="G320" s="505" t="s">
        <v>639</v>
      </c>
      <c r="H320" s="477">
        <v>3000</v>
      </c>
      <c r="I320" s="63">
        <v>0</v>
      </c>
      <c r="J320" s="1610">
        <v>0</v>
      </c>
      <c r="K320" s="181">
        <v>0</v>
      </c>
      <c r="L320" s="1547">
        <v>0</v>
      </c>
      <c r="M320" s="274">
        <v>0</v>
      </c>
      <c r="N320" s="248">
        <v>0</v>
      </c>
      <c r="O320" s="30">
        <v>0</v>
      </c>
      <c r="P320" s="1744">
        <v>0</v>
      </c>
      <c r="Q320" s="651">
        <v>0</v>
      </c>
      <c r="R320" s="1715">
        <f t="shared" si="14"/>
        <v>0</v>
      </c>
      <c r="S320" s="16">
        <v>0</v>
      </c>
      <c r="T320" s="30">
        <v>0</v>
      </c>
      <c r="U320" s="318">
        <v>3000</v>
      </c>
      <c r="V320" s="318">
        <v>0</v>
      </c>
      <c r="W320" s="5" t="s">
        <v>776</v>
      </c>
      <c r="X320" s="5" t="s">
        <v>20</v>
      </c>
      <c r="Y320" s="232" t="s">
        <v>980</v>
      </c>
      <c r="Z320" s="104" t="s">
        <v>828</v>
      </c>
      <c r="AA320" s="104" t="s">
        <v>828</v>
      </c>
    </row>
    <row r="321" spans="1:27" s="429" customFormat="1" ht="38.25" x14ac:dyDescent="0.25">
      <c r="A321" s="64" t="s">
        <v>1116</v>
      </c>
      <c r="B321" s="64" t="s">
        <v>794</v>
      </c>
      <c r="C321" s="5">
        <v>2019</v>
      </c>
      <c r="D321" s="5" t="s">
        <v>801</v>
      </c>
      <c r="E321" s="5" t="s">
        <v>12</v>
      </c>
      <c r="F321" s="5" t="s">
        <v>640</v>
      </c>
      <c r="G321" s="505" t="s">
        <v>641</v>
      </c>
      <c r="H321" s="477">
        <v>10000</v>
      </c>
      <c r="I321" s="63">
        <v>0</v>
      </c>
      <c r="J321" s="1610">
        <v>0</v>
      </c>
      <c r="K321" s="181">
        <v>0</v>
      </c>
      <c r="L321" s="1547">
        <v>0</v>
      </c>
      <c r="M321" s="274">
        <v>0</v>
      </c>
      <c r="N321" s="248">
        <v>0</v>
      </c>
      <c r="O321" s="30">
        <v>0</v>
      </c>
      <c r="P321" s="1744">
        <v>0</v>
      </c>
      <c r="Q321" s="651">
        <v>0</v>
      </c>
      <c r="R321" s="1715">
        <f t="shared" si="14"/>
        <v>0</v>
      </c>
      <c r="S321" s="16">
        <v>0</v>
      </c>
      <c r="T321" s="30">
        <v>0</v>
      </c>
      <c r="U321" s="318">
        <v>10000</v>
      </c>
      <c r="V321" s="318">
        <v>0</v>
      </c>
      <c r="W321" s="5" t="s">
        <v>776</v>
      </c>
      <c r="X321" s="5" t="s">
        <v>20</v>
      </c>
      <c r="Y321" s="232" t="s">
        <v>980</v>
      </c>
      <c r="Z321" s="104" t="s">
        <v>828</v>
      </c>
      <c r="AA321" s="104" t="s">
        <v>828</v>
      </c>
    </row>
    <row r="322" spans="1:27" s="429" customFormat="1" ht="38.25" x14ac:dyDescent="0.25">
      <c r="A322" s="64" t="s">
        <v>1117</v>
      </c>
      <c r="B322" s="64" t="s">
        <v>794</v>
      </c>
      <c r="C322" s="5">
        <v>2019</v>
      </c>
      <c r="D322" s="5" t="s">
        <v>801</v>
      </c>
      <c r="E322" s="5" t="s">
        <v>640</v>
      </c>
      <c r="F322" s="5" t="s">
        <v>640</v>
      </c>
      <c r="G322" s="505" t="s">
        <v>642</v>
      </c>
      <c r="H322" s="477">
        <v>1000</v>
      </c>
      <c r="I322" s="63">
        <v>0</v>
      </c>
      <c r="J322" s="1610">
        <v>0</v>
      </c>
      <c r="K322" s="181">
        <v>0</v>
      </c>
      <c r="L322" s="1547">
        <v>0</v>
      </c>
      <c r="M322" s="274">
        <v>0</v>
      </c>
      <c r="N322" s="248">
        <v>0</v>
      </c>
      <c r="O322" s="30">
        <v>0</v>
      </c>
      <c r="P322" s="1744">
        <v>0</v>
      </c>
      <c r="Q322" s="651">
        <v>0</v>
      </c>
      <c r="R322" s="1715">
        <f t="shared" si="14"/>
        <v>0</v>
      </c>
      <c r="S322" s="16">
        <v>0</v>
      </c>
      <c r="T322" s="30">
        <v>0</v>
      </c>
      <c r="U322" s="318">
        <v>1000</v>
      </c>
      <c r="V322" s="318">
        <v>0</v>
      </c>
      <c r="W322" s="5" t="s">
        <v>776</v>
      </c>
      <c r="X322" s="5" t="s">
        <v>20</v>
      </c>
      <c r="Y322" s="232" t="s">
        <v>980</v>
      </c>
      <c r="Z322" s="104" t="s">
        <v>828</v>
      </c>
      <c r="AA322" s="104" t="s">
        <v>828</v>
      </c>
    </row>
    <row r="323" spans="1:27" s="429" customFormat="1" ht="38.25" x14ac:dyDescent="0.25">
      <c r="A323" s="64" t="s">
        <v>1118</v>
      </c>
      <c r="B323" s="64" t="s">
        <v>794</v>
      </c>
      <c r="C323" s="5">
        <v>2019</v>
      </c>
      <c r="D323" s="5" t="s">
        <v>801</v>
      </c>
      <c r="E323" s="5" t="s">
        <v>643</v>
      </c>
      <c r="F323" s="5" t="s">
        <v>643</v>
      </c>
      <c r="G323" s="505" t="s">
        <v>644</v>
      </c>
      <c r="H323" s="477">
        <v>1500</v>
      </c>
      <c r="I323" s="63">
        <v>0</v>
      </c>
      <c r="J323" s="1610">
        <v>0</v>
      </c>
      <c r="K323" s="181">
        <v>0</v>
      </c>
      <c r="L323" s="1547">
        <v>0</v>
      </c>
      <c r="M323" s="274">
        <v>0</v>
      </c>
      <c r="N323" s="248">
        <v>0</v>
      </c>
      <c r="O323" s="30">
        <v>0</v>
      </c>
      <c r="P323" s="1744">
        <v>0</v>
      </c>
      <c r="Q323" s="651">
        <v>0</v>
      </c>
      <c r="R323" s="1715">
        <f t="shared" si="14"/>
        <v>0</v>
      </c>
      <c r="S323" s="16">
        <v>0</v>
      </c>
      <c r="T323" s="30">
        <v>0</v>
      </c>
      <c r="U323" s="318">
        <v>1500</v>
      </c>
      <c r="V323" s="318">
        <v>0</v>
      </c>
      <c r="W323" s="5" t="s">
        <v>776</v>
      </c>
      <c r="X323" s="5" t="s">
        <v>20</v>
      </c>
      <c r="Y323" s="232" t="s">
        <v>980</v>
      </c>
      <c r="Z323" s="104" t="s">
        <v>828</v>
      </c>
      <c r="AA323" s="104" t="s">
        <v>828</v>
      </c>
    </row>
    <row r="324" spans="1:27" s="429" customFormat="1" ht="30" x14ac:dyDescent="0.25">
      <c r="A324" s="64" t="s">
        <v>1119</v>
      </c>
      <c r="B324" s="64" t="s">
        <v>794</v>
      </c>
      <c r="C324" s="5">
        <v>2019</v>
      </c>
      <c r="D324" s="5" t="s">
        <v>801</v>
      </c>
      <c r="E324" s="5" t="s">
        <v>263</v>
      </c>
      <c r="F324" s="5" t="s">
        <v>263</v>
      </c>
      <c r="G324" s="505" t="s">
        <v>645</v>
      </c>
      <c r="H324" s="477">
        <v>1000</v>
      </c>
      <c r="I324" s="63">
        <v>0</v>
      </c>
      <c r="J324" s="1610">
        <v>0</v>
      </c>
      <c r="K324" s="181">
        <v>0</v>
      </c>
      <c r="L324" s="1547">
        <v>0</v>
      </c>
      <c r="M324" s="274">
        <v>0</v>
      </c>
      <c r="N324" s="248">
        <v>0</v>
      </c>
      <c r="O324" s="30">
        <v>0</v>
      </c>
      <c r="P324" s="1744">
        <v>0</v>
      </c>
      <c r="Q324" s="651">
        <v>0</v>
      </c>
      <c r="R324" s="1715">
        <f t="shared" si="14"/>
        <v>0</v>
      </c>
      <c r="S324" s="16">
        <v>0</v>
      </c>
      <c r="T324" s="30">
        <v>0</v>
      </c>
      <c r="U324" s="318">
        <v>1000</v>
      </c>
      <c r="V324" s="318">
        <v>0</v>
      </c>
      <c r="W324" s="5" t="s">
        <v>776</v>
      </c>
      <c r="X324" s="5" t="s">
        <v>20</v>
      </c>
      <c r="Y324" s="232" t="s">
        <v>980</v>
      </c>
      <c r="Z324" s="104" t="s">
        <v>828</v>
      </c>
      <c r="AA324" s="104" t="s">
        <v>828</v>
      </c>
    </row>
    <row r="325" spans="1:27" s="429" customFormat="1" ht="28.5" customHeight="1" x14ac:dyDescent="0.25">
      <c r="A325" s="64" t="s">
        <v>1120</v>
      </c>
      <c r="B325" s="64" t="s">
        <v>794</v>
      </c>
      <c r="C325" s="5">
        <v>2019</v>
      </c>
      <c r="D325" s="5" t="s">
        <v>801</v>
      </c>
      <c r="E325" s="5" t="s">
        <v>12</v>
      </c>
      <c r="F325" s="5" t="s">
        <v>646</v>
      </c>
      <c r="G325" s="505" t="s">
        <v>559</v>
      </c>
      <c r="H325" s="477">
        <v>27969.15</v>
      </c>
      <c r="I325" s="63">
        <v>0</v>
      </c>
      <c r="J325" s="1610">
        <v>0</v>
      </c>
      <c r="K325" s="181">
        <v>0</v>
      </c>
      <c r="L325" s="1547">
        <v>0</v>
      </c>
      <c r="M325" s="274">
        <v>0</v>
      </c>
      <c r="N325" s="248">
        <v>0</v>
      </c>
      <c r="O325" s="30">
        <v>0</v>
      </c>
      <c r="P325" s="1744">
        <v>0</v>
      </c>
      <c r="Q325" s="651">
        <v>0</v>
      </c>
      <c r="R325" s="1715">
        <f t="shared" si="14"/>
        <v>0</v>
      </c>
      <c r="S325" s="16">
        <v>0</v>
      </c>
      <c r="T325" s="30">
        <v>0</v>
      </c>
      <c r="U325" s="318">
        <v>27969.15</v>
      </c>
      <c r="V325" s="318">
        <v>0</v>
      </c>
      <c r="W325" s="5" t="s">
        <v>776</v>
      </c>
      <c r="X325" s="5" t="s">
        <v>20</v>
      </c>
      <c r="Y325" s="232" t="s">
        <v>980</v>
      </c>
      <c r="Z325" s="104" t="s">
        <v>828</v>
      </c>
      <c r="AA325" s="104" t="s">
        <v>828</v>
      </c>
    </row>
    <row r="326" spans="1:27" s="429" customFormat="1" ht="30" x14ac:dyDescent="0.25">
      <c r="A326" s="64" t="s">
        <v>1121</v>
      </c>
      <c r="B326" s="64" t="s">
        <v>794</v>
      </c>
      <c r="C326" s="5">
        <v>2019</v>
      </c>
      <c r="D326" s="5" t="s">
        <v>801</v>
      </c>
      <c r="E326" s="5" t="s">
        <v>285</v>
      </c>
      <c r="F326" s="5" t="s">
        <v>285</v>
      </c>
      <c r="G326" s="505" t="s">
        <v>647</v>
      </c>
      <c r="H326" s="477">
        <v>424</v>
      </c>
      <c r="I326" s="63">
        <v>0</v>
      </c>
      <c r="J326" s="1610">
        <v>0</v>
      </c>
      <c r="K326" s="181">
        <v>0</v>
      </c>
      <c r="L326" s="1547">
        <v>0</v>
      </c>
      <c r="M326" s="274">
        <v>0</v>
      </c>
      <c r="N326" s="248">
        <v>324</v>
      </c>
      <c r="O326" s="30">
        <v>0</v>
      </c>
      <c r="P326" s="1744">
        <v>324</v>
      </c>
      <c r="Q326" s="651">
        <v>0</v>
      </c>
      <c r="R326" s="1715">
        <f t="shared" si="14"/>
        <v>324</v>
      </c>
      <c r="S326" s="16">
        <v>0</v>
      </c>
      <c r="T326" s="30">
        <v>100</v>
      </c>
      <c r="U326" s="318">
        <v>0</v>
      </c>
      <c r="V326" s="318">
        <v>0</v>
      </c>
      <c r="W326" s="5" t="s">
        <v>912</v>
      </c>
      <c r="X326" s="5" t="s">
        <v>20</v>
      </c>
      <c r="Y326" s="232" t="s">
        <v>883</v>
      </c>
      <c r="Z326" s="104" t="s">
        <v>828</v>
      </c>
      <c r="AA326" s="104" t="s">
        <v>828</v>
      </c>
    </row>
    <row r="327" spans="1:27" s="429" customFormat="1" ht="29.25" customHeight="1" thickBot="1" x14ac:dyDescent="0.3">
      <c r="A327" s="132" t="s">
        <v>1122</v>
      </c>
      <c r="B327" s="132" t="s">
        <v>794</v>
      </c>
      <c r="C327" s="133">
        <v>2019</v>
      </c>
      <c r="D327" s="133" t="s">
        <v>801</v>
      </c>
      <c r="E327" s="133" t="s">
        <v>232</v>
      </c>
      <c r="F327" s="133" t="s">
        <v>232</v>
      </c>
      <c r="G327" s="525" t="s">
        <v>648</v>
      </c>
      <c r="H327" s="624">
        <v>4500</v>
      </c>
      <c r="I327" s="567">
        <v>0</v>
      </c>
      <c r="J327" s="1614">
        <v>0</v>
      </c>
      <c r="K327" s="250">
        <v>0</v>
      </c>
      <c r="L327" s="1551">
        <v>0</v>
      </c>
      <c r="M327" s="656">
        <v>0</v>
      </c>
      <c r="N327" s="661">
        <v>0</v>
      </c>
      <c r="O327" s="317">
        <v>0</v>
      </c>
      <c r="P327" s="1745">
        <v>0</v>
      </c>
      <c r="Q327" s="1707">
        <v>0</v>
      </c>
      <c r="R327" s="1714">
        <f t="shared" si="14"/>
        <v>0</v>
      </c>
      <c r="S327" s="49">
        <v>0</v>
      </c>
      <c r="T327" s="317">
        <v>0</v>
      </c>
      <c r="U327" s="315">
        <v>4500</v>
      </c>
      <c r="V327" s="315">
        <v>0</v>
      </c>
      <c r="W327" s="133" t="s">
        <v>776</v>
      </c>
      <c r="X327" s="133" t="s">
        <v>20</v>
      </c>
      <c r="Y327" s="233" t="s">
        <v>980</v>
      </c>
      <c r="Z327" s="137" t="s">
        <v>828</v>
      </c>
      <c r="AA327" s="137" t="s">
        <v>828</v>
      </c>
    </row>
    <row r="328" spans="1:27" s="429" customFormat="1" ht="38.25" x14ac:dyDescent="0.25">
      <c r="A328" s="858" t="s">
        <v>1123</v>
      </c>
      <c r="B328" s="858" t="s">
        <v>794</v>
      </c>
      <c r="C328" s="551">
        <v>2019</v>
      </c>
      <c r="D328" s="551" t="s">
        <v>922</v>
      </c>
      <c r="E328" s="551" t="s">
        <v>266</v>
      </c>
      <c r="F328" s="840" t="s">
        <v>288</v>
      </c>
      <c r="G328" s="1391" t="s">
        <v>648</v>
      </c>
      <c r="H328" s="1392">
        <v>6000</v>
      </c>
      <c r="I328" s="1466">
        <v>0</v>
      </c>
      <c r="J328" s="1466">
        <v>0</v>
      </c>
      <c r="K328" s="862">
        <v>0</v>
      </c>
      <c r="L328" s="1554">
        <v>0</v>
      </c>
      <c r="M328" s="956">
        <v>0</v>
      </c>
      <c r="N328" s="957">
        <v>3000</v>
      </c>
      <c r="O328" s="959">
        <v>3000</v>
      </c>
      <c r="P328" s="1827">
        <v>0</v>
      </c>
      <c r="Q328" s="1828">
        <v>6000</v>
      </c>
      <c r="R328" s="1466">
        <f t="shared" si="14"/>
        <v>6000</v>
      </c>
      <c r="S328" s="856">
        <v>0</v>
      </c>
      <c r="T328" s="959">
        <v>0</v>
      </c>
      <c r="U328" s="1068">
        <v>0</v>
      </c>
      <c r="V328" s="1467">
        <v>0</v>
      </c>
      <c r="W328" s="840" t="s">
        <v>1847</v>
      </c>
      <c r="X328" s="551" t="s">
        <v>20</v>
      </c>
      <c r="Y328" s="775" t="s">
        <v>882</v>
      </c>
      <c r="Z328" s="918" t="s">
        <v>828</v>
      </c>
      <c r="AA328" s="918" t="s">
        <v>828</v>
      </c>
    </row>
    <row r="329" spans="1:27" s="429" customFormat="1" ht="38.25" x14ac:dyDescent="0.25">
      <c r="A329" s="858" t="s">
        <v>1124</v>
      </c>
      <c r="B329" s="858" t="s">
        <v>794</v>
      </c>
      <c r="C329" s="551">
        <v>2019</v>
      </c>
      <c r="D329" s="553" t="s">
        <v>922</v>
      </c>
      <c r="E329" s="553" t="s">
        <v>887</v>
      </c>
      <c r="F329" s="435" t="s">
        <v>887</v>
      </c>
      <c r="G329" s="888" t="s">
        <v>648</v>
      </c>
      <c r="H329" s="1324">
        <v>6000</v>
      </c>
      <c r="I329" s="1145">
        <v>0</v>
      </c>
      <c r="J329" s="1145">
        <v>0</v>
      </c>
      <c r="K329" s="853">
        <v>0</v>
      </c>
      <c r="L329" s="1536">
        <v>0</v>
      </c>
      <c r="M329" s="991">
        <v>0</v>
      </c>
      <c r="N329" s="923">
        <v>3000</v>
      </c>
      <c r="O329" s="993">
        <v>3000</v>
      </c>
      <c r="P329" s="1824">
        <v>0</v>
      </c>
      <c r="Q329" s="1825">
        <v>6000</v>
      </c>
      <c r="R329" s="1466">
        <f t="shared" si="14"/>
        <v>6000</v>
      </c>
      <c r="S329" s="855">
        <v>0</v>
      </c>
      <c r="T329" s="993">
        <v>0</v>
      </c>
      <c r="U329" s="994">
        <v>0</v>
      </c>
      <c r="V329" s="995">
        <v>0</v>
      </c>
      <c r="W329" s="840" t="s">
        <v>1847</v>
      </c>
      <c r="X329" s="553" t="s">
        <v>20</v>
      </c>
      <c r="Y329" s="775" t="s">
        <v>882</v>
      </c>
      <c r="Z329" s="774" t="s">
        <v>828</v>
      </c>
      <c r="AA329" s="774" t="s">
        <v>828</v>
      </c>
    </row>
    <row r="330" spans="1:27" s="429" customFormat="1" ht="39" thickBot="1" x14ac:dyDescent="0.3">
      <c r="A330" s="1341" t="s">
        <v>1024</v>
      </c>
      <c r="B330" s="1342" t="s">
        <v>794</v>
      </c>
      <c r="C330" s="1343">
        <v>2019</v>
      </c>
      <c r="D330" s="241" t="s">
        <v>922</v>
      </c>
      <c r="E330" s="241" t="s">
        <v>12</v>
      </c>
      <c r="F330" s="244" t="s">
        <v>888</v>
      </c>
      <c r="G330" s="1344" t="s">
        <v>889</v>
      </c>
      <c r="H330" s="1702">
        <v>50000</v>
      </c>
      <c r="I330" s="291">
        <v>0</v>
      </c>
      <c r="J330" s="1614">
        <v>0</v>
      </c>
      <c r="K330" s="250">
        <v>0</v>
      </c>
      <c r="L330" s="1555">
        <v>0</v>
      </c>
      <c r="M330" s="1347">
        <v>0</v>
      </c>
      <c r="N330" s="1348">
        <v>0</v>
      </c>
      <c r="O330" s="1349">
        <v>1600</v>
      </c>
      <c r="P330" s="1745">
        <v>1600</v>
      </c>
      <c r="Q330" s="1707">
        <v>0</v>
      </c>
      <c r="R330" s="1714">
        <f t="shared" si="14"/>
        <v>1600</v>
      </c>
      <c r="S330" s="1346">
        <v>0</v>
      </c>
      <c r="T330" s="1350">
        <v>0</v>
      </c>
      <c r="U330" s="1345">
        <v>0</v>
      </c>
      <c r="V330" s="1351">
        <v>48400</v>
      </c>
      <c r="W330" s="244" t="s">
        <v>776</v>
      </c>
      <c r="X330" s="241" t="s">
        <v>20</v>
      </c>
      <c r="Y330" s="1352" t="s">
        <v>882</v>
      </c>
      <c r="Z330" s="1342" t="s">
        <v>828</v>
      </c>
      <c r="AA330" s="1342" t="s">
        <v>828</v>
      </c>
    </row>
    <row r="331" spans="1:27" s="429" customFormat="1" ht="38.25" x14ac:dyDescent="0.25">
      <c r="A331" s="1353" t="s">
        <v>1132</v>
      </c>
      <c r="B331" s="1354" t="s">
        <v>794</v>
      </c>
      <c r="C331" s="1355">
        <v>2019</v>
      </c>
      <c r="D331" s="236" t="s">
        <v>1963</v>
      </c>
      <c r="E331" s="242" t="s">
        <v>1133</v>
      </c>
      <c r="F331" s="243" t="s">
        <v>1133</v>
      </c>
      <c r="G331" s="1356" t="s">
        <v>1134</v>
      </c>
      <c r="H331" s="1703">
        <v>4208</v>
      </c>
      <c r="I331" s="384">
        <v>0</v>
      </c>
      <c r="J331" s="1615">
        <v>0</v>
      </c>
      <c r="K331" s="246">
        <v>0</v>
      </c>
      <c r="L331" s="1556">
        <v>0</v>
      </c>
      <c r="M331" s="1359">
        <v>0</v>
      </c>
      <c r="N331" s="1360">
        <v>1200</v>
      </c>
      <c r="O331" s="1361">
        <v>3008</v>
      </c>
      <c r="P331" s="1821">
        <v>4208</v>
      </c>
      <c r="Q331" s="1822">
        <v>0</v>
      </c>
      <c r="R331" s="1715">
        <f t="shared" si="14"/>
        <v>4208</v>
      </c>
      <c r="S331" s="1358">
        <v>0</v>
      </c>
      <c r="T331" s="1362">
        <v>0</v>
      </c>
      <c r="U331" s="1357">
        <v>0</v>
      </c>
      <c r="V331" s="1363">
        <v>0</v>
      </c>
      <c r="W331" s="243" t="s">
        <v>1135</v>
      </c>
      <c r="X331" s="242" t="s">
        <v>20</v>
      </c>
      <c r="Y331" s="1364" t="s">
        <v>882</v>
      </c>
      <c r="Z331" s="1354" t="s">
        <v>828</v>
      </c>
      <c r="AA331" s="1354" t="s">
        <v>828</v>
      </c>
    </row>
    <row r="332" spans="1:27" s="467" customFormat="1" ht="29.25" customHeight="1" x14ac:dyDescent="0.25">
      <c r="A332" s="1296" t="s">
        <v>1136</v>
      </c>
      <c r="B332" s="289" t="s">
        <v>1431</v>
      </c>
      <c r="C332" s="434">
        <v>2019</v>
      </c>
      <c r="D332" s="1365" t="s">
        <v>1963</v>
      </c>
      <c r="E332" s="285" t="s">
        <v>1137</v>
      </c>
      <c r="F332" s="290" t="s">
        <v>1137</v>
      </c>
      <c r="G332" s="385" t="s">
        <v>1138</v>
      </c>
      <c r="H332" s="382">
        <v>500</v>
      </c>
      <c r="I332" s="287">
        <v>0</v>
      </c>
      <c r="J332" s="1608">
        <v>300</v>
      </c>
      <c r="K332" s="422">
        <v>300</v>
      </c>
      <c r="L332" s="1557">
        <v>0</v>
      </c>
      <c r="M332" s="1366">
        <v>0</v>
      </c>
      <c r="N332" s="1367">
        <v>0</v>
      </c>
      <c r="O332" s="1368">
        <v>0</v>
      </c>
      <c r="P332" s="1823">
        <v>0</v>
      </c>
      <c r="Q332" s="1829">
        <v>0</v>
      </c>
      <c r="R332" s="1719">
        <f t="shared" si="14"/>
        <v>0</v>
      </c>
      <c r="S332" s="288">
        <v>0</v>
      </c>
      <c r="T332" s="381">
        <v>200</v>
      </c>
      <c r="U332" s="383">
        <v>0</v>
      </c>
      <c r="V332" s="386">
        <v>0</v>
      </c>
      <c r="W332" s="115" t="s">
        <v>776</v>
      </c>
      <c r="X332" s="1365" t="s">
        <v>866</v>
      </c>
      <c r="Y332" s="316" t="s">
        <v>305</v>
      </c>
      <c r="Z332" s="289" t="s">
        <v>829</v>
      </c>
      <c r="AA332" s="289" t="s">
        <v>829</v>
      </c>
    </row>
    <row r="333" spans="1:27" s="429" customFormat="1" ht="28.5" customHeight="1" x14ac:dyDescent="0.25">
      <c r="A333" s="849" t="s">
        <v>1139</v>
      </c>
      <c r="B333" s="849" t="s">
        <v>1432</v>
      </c>
      <c r="C333" s="553">
        <v>2019</v>
      </c>
      <c r="D333" s="551" t="s">
        <v>1963</v>
      </c>
      <c r="E333" s="553" t="s">
        <v>1140</v>
      </c>
      <c r="F333" s="553" t="s">
        <v>1140</v>
      </c>
      <c r="G333" s="1035" t="s">
        <v>1141</v>
      </c>
      <c r="H333" s="1324">
        <v>650</v>
      </c>
      <c r="I333" s="1145">
        <v>0</v>
      </c>
      <c r="J333" s="1145">
        <v>350</v>
      </c>
      <c r="K333" s="853">
        <v>0</v>
      </c>
      <c r="L333" s="1554">
        <v>350</v>
      </c>
      <c r="M333" s="956">
        <v>0</v>
      </c>
      <c r="N333" s="957">
        <v>0</v>
      </c>
      <c r="O333" s="959">
        <v>0</v>
      </c>
      <c r="P333" s="1824">
        <v>350</v>
      </c>
      <c r="Q333" s="1825">
        <v>0</v>
      </c>
      <c r="R333" s="1466">
        <f t="shared" si="14"/>
        <v>350</v>
      </c>
      <c r="S333" s="855">
        <v>0</v>
      </c>
      <c r="T333" s="993">
        <v>300</v>
      </c>
      <c r="U333" s="994">
        <v>0</v>
      </c>
      <c r="V333" s="995">
        <v>0</v>
      </c>
      <c r="W333" s="435" t="s">
        <v>1819</v>
      </c>
      <c r="X333" s="553" t="s">
        <v>14</v>
      </c>
      <c r="Y333" s="775" t="s">
        <v>854</v>
      </c>
      <c r="Z333" s="918" t="s">
        <v>828</v>
      </c>
      <c r="AA333" s="918" t="s">
        <v>828</v>
      </c>
    </row>
    <row r="334" spans="1:27" s="429" customFormat="1" ht="28.5" customHeight="1" x14ac:dyDescent="0.25">
      <c r="A334" s="64" t="s">
        <v>1142</v>
      </c>
      <c r="B334" s="64" t="s">
        <v>794</v>
      </c>
      <c r="C334" s="5">
        <v>2019</v>
      </c>
      <c r="D334" s="4" t="s">
        <v>1963</v>
      </c>
      <c r="E334" s="4" t="s">
        <v>12</v>
      </c>
      <c r="F334" s="121" t="s">
        <v>1143</v>
      </c>
      <c r="G334" s="568" t="s">
        <v>1144</v>
      </c>
      <c r="H334" s="478">
        <v>1918.9469999999999</v>
      </c>
      <c r="I334" s="1210">
        <v>0</v>
      </c>
      <c r="J334" s="1610">
        <v>0</v>
      </c>
      <c r="K334" s="246">
        <v>0</v>
      </c>
      <c r="L334" s="1558">
        <v>1918.9469999999999</v>
      </c>
      <c r="M334" s="265">
        <v>0</v>
      </c>
      <c r="N334" s="662">
        <v>0</v>
      </c>
      <c r="O334" s="264">
        <v>0</v>
      </c>
      <c r="P334" s="1830">
        <v>1918.9469999999999</v>
      </c>
      <c r="Q334" s="1831">
        <v>0</v>
      </c>
      <c r="R334" s="1715">
        <f t="shared" si="14"/>
        <v>1918.9469999999999</v>
      </c>
      <c r="S334" s="3">
        <v>0</v>
      </c>
      <c r="T334" s="264">
        <v>0</v>
      </c>
      <c r="U334" s="479">
        <v>0</v>
      </c>
      <c r="V334" s="480">
        <v>0</v>
      </c>
      <c r="W334" s="121" t="s">
        <v>776</v>
      </c>
      <c r="X334" s="4" t="s">
        <v>20</v>
      </c>
      <c r="Y334" s="231" t="s">
        <v>883</v>
      </c>
      <c r="Z334" s="104" t="s">
        <v>828</v>
      </c>
      <c r="AA334" s="104" t="s">
        <v>828</v>
      </c>
    </row>
    <row r="335" spans="1:27" s="464" customFormat="1" ht="30" customHeight="1" x14ac:dyDescent="0.25">
      <c r="A335" s="1249" t="s">
        <v>1145</v>
      </c>
      <c r="B335" s="1249" t="s">
        <v>1433</v>
      </c>
      <c r="C335" s="714">
        <v>2019</v>
      </c>
      <c r="D335" s="714" t="s">
        <v>1963</v>
      </c>
      <c r="E335" s="714" t="s">
        <v>288</v>
      </c>
      <c r="F335" s="355" t="s">
        <v>288</v>
      </c>
      <c r="G335" s="1369" t="s">
        <v>1146</v>
      </c>
      <c r="H335" s="1370">
        <v>466.56599999999997</v>
      </c>
      <c r="I335" s="1256">
        <v>0</v>
      </c>
      <c r="J335" s="1611">
        <v>480</v>
      </c>
      <c r="K335" s="1174">
        <v>466.56599999999997</v>
      </c>
      <c r="L335" s="1559">
        <v>0</v>
      </c>
      <c r="M335" s="978">
        <v>0</v>
      </c>
      <c r="N335" s="1059">
        <v>0</v>
      </c>
      <c r="O335" s="981">
        <v>0</v>
      </c>
      <c r="P335" s="1811">
        <v>13.433999999999999</v>
      </c>
      <c r="Q335" s="1832">
        <f>P335*-1</f>
        <v>-13.433999999999999</v>
      </c>
      <c r="R335" s="1721">
        <f t="shared" si="14"/>
        <v>0</v>
      </c>
      <c r="S335" s="867">
        <v>0</v>
      </c>
      <c r="T335" s="981">
        <v>0</v>
      </c>
      <c r="U335" s="1132">
        <v>0</v>
      </c>
      <c r="V335" s="1371">
        <v>0</v>
      </c>
      <c r="W335" s="355" t="s">
        <v>1820</v>
      </c>
      <c r="X335" s="1372" t="s">
        <v>866</v>
      </c>
      <c r="Y335" s="1271" t="s">
        <v>305</v>
      </c>
      <c r="Z335" s="1468" t="s">
        <v>829</v>
      </c>
      <c r="AA335" s="1468" t="s">
        <v>829</v>
      </c>
    </row>
    <row r="336" spans="1:27" s="464" customFormat="1" ht="30.75" customHeight="1" x14ac:dyDescent="0.25">
      <c r="A336" s="1249" t="s">
        <v>1198</v>
      </c>
      <c r="B336" s="1249" t="s">
        <v>1434</v>
      </c>
      <c r="C336" s="714">
        <v>2019</v>
      </c>
      <c r="D336" s="714" t="s">
        <v>1963</v>
      </c>
      <c r="E336" s="714" t="s">
        <v>887</v>
      </c>
      <c r="F336" s="355" t="s">
        <v>887</v>
      </c>
      <c r="G336" s="1369" t="s">
        <v>1147</v>
      </c>
      <c r="H336" s="1370">
        <v>299.36401000000001</v>
      </c>
      <c r="I336" s="1256">
        <v>0</v>
      </c>
      <c r="J336" s="1611">
        <v>300</v>
      </c>
      <c r="K336" s="1174">
        <v>299.36401000000001</v>
      </c>
      <c r="L336" s="1559">
        <v>0</v>
      </c>
      <c r="M336" s="978">
        <v>0</v>
      </c>
      <c r="N336" s="1059">
        <v>0</v>
      </c>
      <c r="O336" s="981">
        <v>0</v>
      </c>
      <c r="P336" s="1811">
        <v>0.63599000000000006</v>
      </c>
      <c r="Q336" s="1832">
        <f>P336*-1</f>
        <v>-0.63599000000000006</v>
      </c>
      <c r="R336" s="1721">
        <f t="shared" si="14"/>
        <v>0</v>
      </c>
      <c r="S336" s="867">
        <v>0</v>
      </c>
      <c r="T336" s="981">
        <v>0</v>
      </c>
      <c r="U336" s="1132">
        <v>0</v>
      </c>
      <c r="V336" s="1371">
        <v>0</v>
      </c>
      <c r="W336" s="355" t="s">
        <v>1821</v>
      </c>
      <c r="X336" s="1372" t="s">
        <v>866</v>
      </c>
      <c r="Y336" s="1271" t="s">
        <v>305</v>
      </c>
      <c r="Z336" s="1468" t="s">
        <v>829</v>
      </c>
      <c r="AA336" s="1468" t="s">
        <v>829</v>
      </c>
    </row>
    <row r="337" spans="1:27" s="429" customFormat="1" ht="38.25" x14ac:dyDescent="0.25">
      <c r="A337" s="61" t="s">
        <v>1199</v>
      </c>
      <c r="B337" s="61" t="s">
        <v>794</v>
      </c>
      <c r="C337" s="4">
        <v>2019</v>
      </c>
      <c r="D337" s="4" t="s">
        <v>1963</v>
      </c>
      <c r="E337" s="4" t="s">
        <v>1148</v>
      </c>
      <c r="F337" s="4" t="s">
        <v>1148</v>
      </c>
      <c r="G337" s="568" t="s">
        <v>1149</v>
      </c>
      <c r="H337" s="478">
        <v>3026</v>
      </c>
      <c r="I337" s="1210">
        <v>0</v>
      </c>
      <c r="J337" s="1610">
        <v>0</v>
      </c>
      <c r="K337" s="246">
        <v>0</v>
      </c>
      <c r="L337" s="1558">
        <v>250</v>
      </c>
      <c r="M337" s="265">
        <v>0</v>
      </c>
      <c r="N337" s="662">
        <v>2776</v>
      </c>
      <c r="O337" s="1374">
        <v>0</v>
      </c>
      <c r="P337" s="1830">
        <v>3026</v>
      </c>
      <c r="Q337" s="1831">
        <v>0</v>
      </c>
      <c r="R337" s="1715">
        <f t="shared" si="14"/>
        <v>3026</v>
      </c>
      <c r="S337" s="3">
        <v>0</v>
      </c>
      <c r="T337" s="264">
        <v>0</v>
      </c>
      <c r="U337" s="479">
        <v>0</v>
      </c>
      <c r="V337" s="480">
        <v>0</v>
      </c>
      <c r="W337" s="121" t="s">
        <v>776</v>
      </c>
      <c r="X337" s="4" t="s">
        <v>20</v>
      </c>
      <c r="Y337" s="231" t="s">
        <v>883</v>
      </c>
      <c r="Z337" s="104" t="s">
        <v>828</v>
      </c>
      <c r="AA337" s="104" t="s">
        <v>828</v>
      </c>
    </row>
    <row r="338" spans="1:27" s="1412" customFormat="1" ht="26.25" thickBot="1" x14ac:dyDescent="0.3">
      <c r="A338" s="1375" t="s">
        <v>1200</v>
      </c>
      <c r="B338" s="1375" t="s">
        <v>1570</v>
      </c>
      <c r="C338" s="1376">
        <v>2019</v>
      </c>
      <c r="D338" s="1376" t="s">
        <v>1963</v>
      </c>
      <c r="E338" s="1376" t="s">
        <v>288</v>
      </c>
      <c r="F338" s="399" t="s">
        <v>288</v>
      </c>
      <c r="G338" s="1377" t="s">
        <v>1822</v>
      </c>
      <c r="H338" s="1378">
        <v>489.66</v>
      </c>
      <c r="I338" s="1503">
        <v>0</v>
      </c>
      <c r="J338" s="1616">
        <v>540</v>
      </c>
      <c r="K338" s="1380">
        <v>489.66</v>
      </c>
      <c r="L338" s="1560">
        <v>0</v>
      </c>
      <c r="M338" s="1381">
        <v>0</v>
      </c>
      <c r="N338" s="1382">
        <v>0</v>
      </c>
      <c r="O338" s="1383">
        <v>0</v>
      </c>
      <c r="P338" s="1833">
        <v>50.34</v>
      </c>
      <c r="Q338" s="1834">
        <f>-1*P338</f>
        <v>-50.34</v>
      </c>
      <c r="R338" s="1737">
        <f t="shared" si="14"/>
        <v>0</v>
      </c>
      <c r="S338" s="1379">
        <v>0</v>
      </c>
      <c r="T338" s="1383">
        <v>0</v>
      </c>
      <c r="U338" s="1384">
        <v>0</v>
      </c>
      <c r="V338" s="1385">
        <v>0</v>
      </c>
      <c r="W338" s="1386" t="s">
        <v>1823</v>
      </c>
      <c r="X338" s="1376" t="s">
        <v>866</v>
      </c>
      <c r="Y338" s="1513" t="s">
        <v>305</v>
      </c>
      <c r="Z338" s="1581" t="s">
        <v>829</v>
      </c>
      <c r="AA338" s="1581" t="s">
        <v>829</v>
      </c>
    </row>
    <row r="339" spans="1:27" s="429" customFormat="1" ht="25.5" x14ac:dyDescent="0.25">
      <c r="A339" s="61" t="s">
        <v>1435</v>
      </c>
      <c r="B339" s="61" t="s">
        <v>794</v>
      </c>
      <c r="C339" s="4">
        <v>2019</v>
      </c>
      <c r="D339" s="4" t="s">
        <v>1843</v>
      </c>
      <c r="E339" s="142" t="s">
        <v>288</v>
      </c>
      <c r="F339" s="55" t="s">
        <v>288</v>
      </c>
      <c r="G339" s="520" t="s">
        <v>1436</v>
      </c>
      <c r="H339" s="476">
        <v>7625</v>
      </c>
      <c r="I339" s="1210">
        <v>0</v>
      </c>
      <c r="J339" s="1613">
        <v>0</v>
      </c>
      <c r="K339" s="246">
        <v>0</v>
      </c>
      <c r="L339" s="1558">
        <v>0</v>
      </c>
      <c r="M339" s="265">
        <v>0</v>
      </c>
      <c r="N339" s="662">
        <v>0</v>
      </c>
      <c r="O339" s="264">
        <v>7625</v>
      </c>
      <c r="P339" s="1821">
        <v>7625</v>
      </c>
      <c r="Q339" s="1835">
        <v>0</v>
      </c>
      <c r="R339" s="1715">
        <f t="shared" si="14"/>
        <v>7625</v>
      </c>
      <c r="S339" s="13">
        <v>0</v>
      </c>
      <c r="T339" s="612">
        <v>0</v>
      </c>
      <c r="U339" s="626">
        <v>0</v>
      </c>
      <c r="V339" s="622">
        <v>0</v>
      </c>
      <c r="W339" s="121" t="s">
        <v>776</v>
      </c>
      <c r="X339" s="4" t="s">
        <v>20</v>
      </c>
      <c r="Y339" s="231" t="s">
        <v>880</v>
      </c>
      <c r="Z339" s="106" t="s">
        <v>828</v>
      </c>
      <c r="AA339" s="106" t="s">
        <v>828</v>
      </c>
    </row>
    <row r="340" spans="1:27" s="464" customFormat="1" ht="25.5" x14ac:dyDescent="0.25">
      <c r="A340" s="1249" t="s">
        <v>1437</v>
      </c>
      <c r="B340" s="1249" t="s">
        <v>1824</v>
      </c>
      <c r="C340" s="714">
        <v>2019</v>
      </c>
      <c r="D340" s="714" t="s">
        <v>1843</v>
      </c>
      <c r="E340" s="1387" t="s">
        <v>589</v>
      </c>
      <c r="F340" s="714" t="s">
        <v>589</v>
      </c>
      <c r="G340" s="1388" t="s">
        <v>1438</v>
      </c>
      <c r="H340" s="1370">
        <v>492.88866000000002</v>
      </c>
      <c r="I340" s="1256">
        <v>0</v>
      </c>
      <c r="J340" s="1617">
        <v>515</v>
      </c>
      <c r="K340" s="1174">
        <v>492.88866000000002</v>
      </c>
      <c r="L340" s="1559">
        <v>0</v>
      </c>
      <c r="M340" s="978">
        <v>0</v>
      </c>
      <c r="N340" s="1059">
        <v>0</v>
      </c>
      <c r="O340" s="981">
        <v>0</v>
      </c>
      <c r="P340" s="1811">
        <v>22.111339999999998</v>
      </c>
      <c r="Q340" s="1836">
        <f>P340*-1</f>
        <v>-22.111339999999998</v>
      </c>
      <c r="R340" s="1721">
        <f t="shared" si="14"/>
        <v>0</v>
      </c>
      <c r="S340" s="867">
        <v>0</v>
      </c>
      <c r="T340" s="1389">
        <v>0</v>
      </c>
      <c r="U340" s="1390">
        <v>0</v>
      </c>
      <c r="V340" s="1132">
        <v>0</v>
      </c>
      <c r="W340" s="1469" t="s">
        <v>1825</v>
      </c>
      <c r="X340" s="714" t="s">
        <v>866</v>
      </c>
      <c r="Y340" s="1271" t="s">
        <v>305</v>
      </c>
      <c r="Z340" s="1468" t="s">
        <v>829</v>
      </c>
      <c r="AA340" s="1468" t="s">
        <v>829</v>
      </c>
    </row>
    <row r="341" spans="1:27" s="429" customFormat="1" ht="39.75" customHeight="1" x14ac:dyDescent="0.25">
      <c r="A341" s="136" t="s">
        <v>1439</v>
      </c>
      <c r="B341" s="136" t="s">
        <v>1814</v>
      </c>
      <c r="C341" s="68">
        <v>2019</v>
      </c>
      <c r="D341" s="68" t="s">
        <v>1843</v>
      </c>
      <c r="E341" s="141" t="s">
        <v>1826</v>
      </c>
      <c r="F341" s="68" t="s">
        <v>1019</v>
      </c>
      <c r="G341" s="1618" t="s">
        <v>1440</v>
      </c>
      <c r="H341" s="623">
        <v>699.99900000000002</v>
      </c>
      <c r="I341" s="138">
        <v>0</v>
      </c>
      <c r="J341" s="1608">
        <v>700</v>
      </c>
      <c r="K341" s="422">
        <v>699.99900000000002</v>
      </c>
      <c r="L341" s="334">
        <v>0</v>
      </c>
      <c r="M341" s="305">
        <v>0</v>
      </c>
      <c r="N341" s="294">
        <v>0</v>
      </c>
      <c r="O341" s="1619">
        <v>0</v>
      </c>
      <c r="P341" s="1823">
        <f>700-699.999</f>
        <v>9.9999999997635314E-4</v>
      </c>
      <c r="Q341" s="1837">
        <v>-1E-3</v>
      </c>
      <c r="R341" s="1719">
        <f t="shared" si="14"/>
        <v>-2.3646883062777846E-14</v>
      </c>
      <c r="S341" s="21">
        <v>0</v>
      </c>
      <c r="T341" s="110">
        <v>0</v>
      </c>
      <c r="U341" s="451">
        <v>0</v>
      </c>
      <c r="V341" s="328">
        <v>0</v>
      </c>
      <c r="W341" s="115" t="s">
        <v>776</v>
      </c>
      <c r="X341" s="68" t="s">
        <v>866</v>
      </c>
      <c r="Y341" s="257" t="s">
        <v>305</v>
      </c>
      <c r="Z341" s="67" t="s">
        <v>828</v>
      </c>
      <c r="AA341" s="67" t="s">
        <v>828</v>
      </c>
    </row>
    <row r="342" spans="1:27" s="429" customFormat="1" ht="28.5" customHeight="1" x14ac:dyDescent="0.25">
      <c r="A342" s="61" t="s">
        <v>1441</v>
      </c>
      <c r="B342" s="61" t="s">
        <v>794</v>
      </c>
      <c r="C342" s="4">
        <v>2019</v>
      </c>
      <c r="D342" s="4" t="s">
        <v>1843</v>
      </c>
      <c r="E342" s="142" t="s">
        <v>1442</v>
      </c>
      <c r="F342" s="4" t="s">
        <v>1442</v>
      </c>
      <c r="G342" s="625" t="s">
        <v>1443</v>
      </c>
      <c r="H342" s="478">
        <v>1700</v>
      </c>
      <c r="I342" s="1210">
        <v>0</v>
      </c>
      <c r="J342" s="1613">
        <v>0</v>
      </c>
      <c r="K342" s="246">
        <v>0</v>
      </c>
      <c r="L342" s="1558">
        <v>0</v>
      </c>
      <c r="M342" s="265">
        <v>0</v>
      </c>
      <c r="N342" s="662">
        <v>0</v>
      </c>
      <c r="O342" s="30">
        <v>1700</v>
      </c>
      <c r="P342" s="1830">
        <v>1700</v>
      </c>
      <c r="Q342" s="1835">
        <v>0</v>
      </c>
      <c r="R342" s="1715">
        <f t="shared" si="14"/>
        <v>1700</v>
      </c>
      <c r="S342" s="3">
        <v>0</v>
      </c>
      <c r="T342" s="31">
        <v>0</v>
      </c>
      <c r="U342" s="626">
        <v>0</v>
      </c>
      <c r="V342" s="479">
        <v>0</v>
      </c>
      <c r="W342" s="121" t="s">
        <v>776</v>
      </c>
      <c r="X342" s="4" t="s">
        <v>20</v>
      </c>
      <c r="Y342" s="231" t="s">
        <v>880</v>
      </c>
      <c r="Z342" s="106" t="s">
        <v>828</v>
      </c>
      <c r="AA342" s="106" t="s">
        <v>828</v>
      </c>
    </row>
    <row r="343" spans="1:27" s="464" customFormat="1" ht="41.25" customHeight="1" x14ac:dyDescent="0.25">
      <c r="A343" s="1249" t="s">
        <v>1444</v>
      </c>
      <c r="B343" s="1249" t="s">
        <v>1827</v>
      </c>
      <c r="C343" s="714">
        <v>2019</v>
      </c>
      <c r="D343" s="714" t="s">
        <v>1843</v>
      </c>
      <c r="E343" s="1387" t="s">
        <v>1445</v>
      </c>
      <c r="F343" s="714" t="s">
        <v>1445</v>
      </c>
      <c r="G343" s="1388" t="s">
        <v>1446</v>
      </c>
      <c r="H343" s="1370">
        <v>706.28788999999995</v>
      </c>
      <c r="I343" s="1256">
        <v>0</v>
      </c>
      <c r="J343" s="1617">
        <v>1009</v>
      </c>
      <c r="K343" s="1174">
        <v>706.28788999999995</v>
      </c>
      <c r="L343" s="977">
        <v>0</v>
      </c>
      <c r="M343" s="979">
        <v>0</v>
      </c>
      <c r="N343" s="1059">
        <v>0</v>
      </c>
      <c r="O343" s="981">
        <v>0</v>
      </c>
      <c r="P343" s="1811">
        <f>1009-706.28789</f>
        <v>302.71211000000005</v>
      </c>
      <c r="Q343" s="1836">
        <f>-1*P343</f>
        <v>-302.71211000000005</v>
      </c>
      <c r="R343" s="1721">
        <f t="shared" si="14"/>
        <v>0</v>
      </c>
      <c r="S343" s="867">
        <v>0</v>
      </c>
      <c r="T343" s="1389">
        <v>0</v>
      </c>
      <c r="U343" s="1390">
        <v>0</v>
      </c>
      <c r="V343" s="1132">
        <v>0</v>
      </c>
      <c r="W343" s="463" t="s">
        <v>1852</v>
      </c>
      <c r="X343" s="714" t="s">
        <v>866</v>
      </c>
      <c r="Y343" s="1271" t="s">
        <v>305</v>
      </c>
      <c r="Z343" s="1373" t="s">
        <v>828</v>
      </c>
      <c r="AA343" s="1373" t="s">
        <v>828</v>
      </c>
    </row>
    <row r="344" spans="1:27" s="464" customFormat="1" ht="31.5" customHeight="1" x14ac:dyDescent="0.25">
      <c r="A344" s="1393" t="s">
        <v>1450</v>
      </c>
      <c r="B344" s="1249" t="s">
        <v>1571</v>
      </c>
      <c r="C344" s="714">
        <v>2019</v>
      </c>
      <c r="D344" s="714" t="s">
        <v>1843</v>
      </c>
      <c r="E344" s="1394" t="s">
        <v>1452</v>
      </c>
      <c r="F344" s="461" t="s">
        <v>1452</v>
      </c>
      <c r="G344" s="1134" t="s">
        <v>1828</v>
      </c>
      <c r="H344" s="1323">
        <v>1947.9999800000001</v>
      </c>
      <c r="I344" s="1242">
        <v>0</v>
      </c>
      <c r="J344" s="1611">
        <v>1950</v>
      </c>
      <c r="K344" s="585">
        <v>1947.9999800000001</v>
      </c>
      <c r="L344" s="1548">
        <v>0</v>
      </c>
      <c r="M344" s="1395">
        <v>0</v>
      </c>
      <c r="N344" s="1396">
        <v>0</v>
      </c>
      <c r="O344" s="1021">
        <v>0</v>
      </c>
      <c r="P344" s="1776">
        <f>1950-1947.99998</f>
        <v>2.0000199999999495</v>
      </c>
      <c r="Q344" s="1838">
        <f>-1*P344</f>
        <v>-2.0000199999999495</v>
      </c>
      <c r="R344" s="1721">
        <f t="shared" si="14"/>
        <v>0</v>
      </c>
      <c r="S344" s="982">
        <v>0</v>
      </c>
      <c r="T344" s="982">
        <v>0</v>
      </c>
      <c r="U344" s="1397">
        <v>0</v>
      </c>
      <c r="V344" s="1020">
        <v>0</v>
      </c>
      <c r="W344" s="355" t="s">
        <v>1829</v>
      </c>
      <c r="X344" s="714" t="s">
        <v>866</v>
      </c>
      <c r="Y344" s="1271" t="s">
        <v>305</v>
      </c>
      <c r="Z344" s="1468" t="s">
        <v>829</v>
      </c>
      <c r="AA344" s="1468" t="s">
        <v>829</v>
      </c>
    </row>
    <row r="345" spans="1:27" s="464" customFormat="1" ht="39" thickBot="1" x14ac:dyDescent="0.3">
      <c r="A345" s="1472" t="s">
        <v>1451</v>
      </c>
      <c r="B345" s="1473" t="s">
        <v>1830</v>
      </c>
      <c r="C345" s="460">
        <v>2019</v>
      </c>
      <c r="D345" s="460" t="s">
        <v>1843</v>
      </c>
      <c r="E345" s="1474" t="s">
        <v>281</v>
      </c>
      <c r="F345" s="460" t="s">
        <v>281</v>
      </c>
      <c r="G345" s="1475" t="s">
        <v>415</v>
      </c>
      <c r="H345" s="1476">
        <v>349.97699999999998</v>
      </c>
      <c r="I345" s="1478">
        <v>0</v>
      </c>
      <c r="J345" s="1616">
        <v>490</v>
      </c>
      <c r="K345" s="1477">
        <v>349.97699999999998</v>
      </c>
      <c r="L345" s="1561">
        <v>0</v>
      </c>
      <c r="M345" s="1479">
        <v>0</v>
      </c>
      <c r="N345" s="1480">
        <v>0</v>
      </c>
      <c r="O345" s="1562">
        <v>0</v>
      </c>
      <c r="P345" s="1839">
        <f>490-349.977</f>
        <v>140.02300000000002</v>
      </c>
      <c r="Q345" s="1840">
        <f>P345*-1</f>
        <v>-140.02300000000002</v>
      </c>
      <c r="R345" s="1737">
        <f t="shared" si="14"/>
        <v>0</v>
      </c>
      <c r="S345" s="1482">
        <v>0</v>
      </c>
      <c r="T345" s="1482">
        <v>0</v>
      </c>
      <c r="U345" s="1481">
        <v>0</v>
      </c>
      <c r="V345" s="1483">
        <v>0</v>
      </c>
      <c r="W345" s="465" t="s">
        <v>1850</v>
      </c>
      <c r="X345" s="460" t="s">
        <v>866</v>
      </c>
      <c r="Y345" s="1485" t="s">
        <v>305</v>
      </c>
      <c r="Z345" s="1484" t="s">
        <v>829</v>
      </c>
      <c r="AA345" s="1484" t="s">
        <v>829</v>
      </c>
    </row>
    <row r="346" spans="1:27" s="429" customFormat="1" ht="21.75" customHeight="1" x14ac:dyDescent="0.25">
      <c r="A346" s="708" t="s">
        <v>1831</v>
      </c>
      <c r="B346" s="708" t="s">
        <v>794</v>
      </c>
      <c r="C346" s="436">
        <v>2020</v>
      </c>
      <c r="D346" s="436" t="s">
        <v>776</v>
      </c>
      <c r="E346" s="706" t="s">
        <v>589</v>
      </c>
      <c r="F346" s="706" t="s">
        <v>589</v>
      </c>
      <c r="G346" s="1408" t="s">
        <v>1848</v>
      </c>
      <c r="H346" s="1409">
        <v>3500</v>
      </c>
      <c r="I346" s="1487">
        <v>0</v>
      </c>
      <c r="J346" s="1487">
        <v>0</v>
      </c>
      <c r="K346" s="528">
        <v>0</v>
      </c>
      <c r="L346" s="1088">
        <v>3500</v>
      </c>
      <c r="M346" s="1219">
        <v>0</v>
      </c>
      <c r="N346" s="1219">
        <v>0</v>
      </c>
      <c r="O346" s="1454">
        <v>0</v>
      </c>
      <c r="P346" s="1841">
        <v>0</v>
      </c>
      <c r="Q346" s="1842">
        <v>3500</v>
      </c>
      <c r="R346" s="1487">
        <f t="shared" si="14"/>
        <v>3500</v>
      </c>
      <c r="S346" s="1410">
        <v>0</v>
      </c>
      <c r="T346" s="1089">
        <v>0</v>
      </c>
      <c r="U346" s="1411">
        <v>0</v>
      </c>
      <c r="V346" s="1094">
        <v>0</v>
      </c>
      <c r="W346" s="356" t="s">
        <v>776</v>
      </c>
      <c r="X346" s="436" t="s">
        <v>20</v>
      </c>
      <c r="Y346" s="1514" t="s">
        <v>883</v>
      </c>
      <c r="Z346" s="1398" t="s">
        <v>828</v>
      </c>
      <c r="AA346" s="1398" t="s">
        <v>828</v>
      </c>
    </row>
    <row r="347" spans="1:27" s="429" customFormat="1" ht="42" customHeight="1" x14ac:dyDescent="0.25">
      <c r="A347" s="708" t="s">
        <v>1832</v>
      </c>
      <c r="B347" s="708" t="s">
        <v>794</v>
      </c>
      <c r="C347" s="436">
        <v>2020</v>
      </c>
      <c r="D347" s="436" t="s">
        <v>776</v>
      </c>
      <c r="E347" s="529" t="s">
        <v>610</v>
      </c>
      <c r="F347" s="529" t="s">
        <v>610</v>
      </c>
      <c r="G347" s="1224" t="s">
        <v>1833</v>
      </c>
      <c r="H347" s="1409">
        <v>400</v>
      </c>
      <c r="I347" s="1620">
        <v>0</v>
      </c>
      <c r="J347" s="1620">
        <v>0</v>
      </c>
      <c r="K347" s="528">
        <v>0</v>
      </c>
      <c r="L347" s="1486">
        <v>0</v>
      </c>
      <c r="M347" s="711">
        <v>0</v>
      </c>
      <c r="N347" s="711">
        <v>400</v>
      </c>
      <c r="O347" s="712">
        <v>0</v>
      </c>
      <c r="P347" s="1843">
        <v>0</v>
      </c>
      <c r="Q347" s="1844">
        <v>400</v>
      </c>
      <c r="R347" s="437">
        <f t="shared" si="14"/>
        <v>400</v>
      </c>
      <c r="S347" s="1621">
        <v>0</v>
      </c>
      <c r="T347" s="1081">
        <v>0</v>
      </c>
      <c r="U347" s="1079">
        <v>0</v>
      </c>
      <c r="V347" s="1079">
        <v>0</v>
      </c>
      <c r="W347" s="356" t="s">
        <v>776</v>
      </c>
      <c r="X347" s="436" t="s">
        <v>20</v>
      </c>
      <c r="Y347" s="1514" t="s">
        <v>854</v>
      </c>
      <c r="Z347" s="1398" t="s">
        <v>828</v>
      </c>
      <c r="AA347" s="1398" t="s">
        <v>828</v>
      </c>
    </row>
    <row r="348" spans="1:27" ht="18" customHeight="1" thickBot="1" x14ac:dyDescent="0.3">
      <c r="A348" s="175"/>
      <c r="B348" s="175"/>
      <c r="C348" s="56"/>
      <c r="D348" s="56"/>
      <c r="E348" s="177"/>
      <c r="F348" s="56"/>
      <c r="G348" s="591"/>
      <c r="H348" s="594"/>
      <c r="I348" s="193"/>
      <c r="J348" s="1622"/>
      <c r="K348" s="586"/>
      <c r="L348" s="1623"/>
      <c r="M348" s="370"/>
      <c r="N348" s="663"/>
      <c r="O348" s="179"/>
      <c r="P348" s="1830"/>
      <c r="Q348" s="1835"/>
      <c r="R348" s="1715"/>
      <c r="S348" s="370"/>
      <c r="T348" s="432"/>
      <c r="U348" s="339"/>
      <c r="V348" s="220"/>
      <c r="W348" s="192"/>
      <c r="X348" s="56"/>
      <c r="Y348" s="234"/>
      <c r="Z348" s="217"/>
      <c r="AA348" s="217"/>
    </row>
    <row r="349" spans="1:27" ht="35.25" customHeight="1" thickBot="1" x14ac:dyDescent="0.3">
      <c r="A349" s="1496" t="s">
        <v>776</v>
      </c>
      <c r="B349" s="1497" t="s">
        <v>776</v>
      </c>
      <c r="C349" s="151" t="s">
        <v>776</v>
      </c>
      <c r="D349" s="112" t="s">
        <v>776</v>
      </c>
      <c r="E349" s="497" t="s">
        <v>776</v>
      </c>
      <c r="F349" s="151" t="s">
        <v>776</v>
      </c>
      <c r="G349" s="499" t="s">
        <v>904</v>
      </c>
      <c r="H349" s="96">
        <f>SUM(H230:H348)</f>
        <v>911983.07175999996</v>
      </c>
      <c r="I349" s="96">
        <f>SUM(I230:I348)</f>
        <v>33306.913510000006</v>
      </c>
      <c r="J349" s="96">
        <f>SUM(J230:J348)</f>
        <v>140044.30886000002</v>
      </c>
      <c r="K349" s="1406">
        <v>124316.34537000001</v>
      </c>
      <c r="L349" s="364">
        <f t="shared" ref="L349:V349" si="15">SUM(L230:L348)</f>
        <v>35042.50632</v>
      </c>
      <c r="M349" s="364">
        <f t="shared" si="15"/>
        <v>15998.069390000001</v>
      </c>
      <c r="N349" s="364">
        <f t="shared" si="15"/>
        <v>56269.298999999999</v>
      </c>
      <c r="O349" s="96">
        <f t="shared" si="15"/>
        <v>91697.418619999997</v>
      </c>
      <c r="P349" s="1406">
        <f t="shared" si="15"/>
        <v>185361.05586999995</v>
      </c>
      <c r="Q349" s="364">
        <f t="shared" si="15"/>
        <v>13646.237460000002</v>
      </c>
      <c r="R349" s="364">
        <f t="shared" si="15"/>
        <v>199007.29332999999</v>
      </c>
      <c r="S349" s="364">
        <f>SUM(S230:S348)</f>
        <v>6538</v>
      </c>
      <c r="T349" s="364">
        <f>SUM(T230:T348)</f>
        <v>12218.846000000001</v>
      </c>
      <c r="U349" s="364">
        <f t="shared" si="15"/>
        <v>265331.39130000002</v>
      </c>
      <c r="V349" s="96">
        <f t="shared" si="15"/>
        <v>271264.28224999999</v>
      </c>
      <c r="W349" s="128" t="s">
        <v>1910</v>
      </c>
      <c r="X349" s="97" t="s">
        <v>776</v>
      </c>
      <c r="Y349" s="681" t="s">
        <v>776</v>
      </c>
      <c r="Z349" s="97" t="s">
        <v>776</v>
      </c>
      <c r="AA349" s="102" t="s">
        <v>776</v>
      </c>
    </row>
    <row r="350" spans="1:27" ht="30" x14ac:dyDescent="0.25">
      <c r="A350" s="763" t="s">
        <v>291</v>
      </c>
      <c r="B350" s="850" t="s">
        <v>292</v>
      </c>
      <c r="C350" s="553">
        <v>2011</v>
      </c>
      <c r="D350" s="551" t="s">
        <v>1757</v>
      </c>
      <c r="E350" s="851" t="s">
        <v>12</v>
      </c>
      <c r="F350" s="802" t="s">
        <v>293</v>
      </c>
      <c r="G350" s="1139" t="s">
        <v>294</v>
      </c>
      <c r="H350" s="769">
        <v>43778.67959</v>
      </c>
      <c r="I350" s="769">
        <v>23086.086420000003</v>
      </c>
      <c r="J350" s="751">
        <v>1140</v>
      </c>
      <c r="K350" s="1499">
        <v>397.53922</v>
      </c>
      <c r="L350" s="1545">
        <f>1000-277.09</f>
        <v>722.91000000000008</v>
      </c>
      <c r="M350" s="1166">
        <v>0</v>
      </c>
      <c r="N350" s="771">
        <v>1019.55078</v>
      </c>
      <c r="O350" s="773">
        <v>0</v>
      </c>
      <c r="P350" s="1751">
        <f>2019.55078-277.09</f>
        <v>1742.4607800000001</v>
      </c>
      <c r="Q350" s="1752">
        <v>0</v>
      </c>
      <c r="R350" s="1466">
        <f t="shared" ref="R350:R400" si="16">P350+Q350</f>
        <v>1742.4607800000001</v>
      </c>
      <c r="S350" s="1167">
        <v>0</v>
      </c>
      <c r="T350" s="759">
        <v>0</v>
      </c>
      <c r="U350" s="1168">
        <v>13552.593169999996</v>
      </c>
      <c r="V350" s="1169">
        <v>5000</v>
      </c>
      <c r="W350" s="1170" t="s">
        <v>1758</v>
      </c>
      <c r="X350" s="553" t="s">
        <v>46</v>
      </c>
      <c r="Y350" s="775" t="s">
        <v>1759</v>
      </c>
      <c r="Z350" s="774" t="s">
        <v>829</v>
      </c>
      <c r="AA350" s="774" t="s">
        <v>829</v>
      </c>
    </row>
    <row r="351" spans="1:27" ht="30" x14ac:dyDescent="0.25">
      <c r="A351" s="763" t="s">
        <v>297</v>
      </c>
      <c r="B351" s="850" t="s">
        <v>298</v>
      </c>
      <c r="C351" s="553">
        <v>2017</v>
      </c>
      <c r="D351" s="553" t="s">
        <v>177</v>
      </c>
      <c r="E351" s="851" t="s">
        <v>299</v>
      </c>
      <c r="F351" s="802" t="s">
        <v>299</v>
      </c>
      <c r="G351" s="1139" t="s">
        <v>300</v>
      </c>
      <c r="H351" s="769">
        <v>16987.48</v>
      </c>
      <c r="I351" s="769">
        <v>750.52</v>
      </c>
      <c r="J351" s="767">
        <v>2750.5200000000004</v>
      </c>
      <c r="K351" s="862">
        <v>1783.6619800000001</v>
      </c>
      <c r="L351" s="1545">
        <v>8000</v>
      </c>
      <c r="M351" s="1166">
        <v>6000</v>
      </c>
      <c r="N351" s="771">
        <f>P351-M351-L351</f>
        <v>453.29801999999836</v>
      </c>
      <c r="O351" s="773">
        <v>0</v>
      </c>
      <c r="P351" s="1751">
        <f>16198.44171-1745.14369</f>
        <v>14453.298019999998</v>
      </c>
      <c r="Q351" s="1752">
        <v>0</v>
      </c>
      <c r="R351" s="1466">
        <f t="shared" si="16"/>
        <v>14453.298019999998</v>
      </c>
      <c r="S351" s="1167">
        <v>0</v>
      </c>
      <c r="T351" s="759">
        <v>0</v>
      </c>
      <c r="U351" s="1168">
        <v>0</v>
      </c>
      <c r="V351" s="1169">
        <v>0</v>
      </c>
      <c r="W351" s="1170" t="s">
        <v>1779</v>
      </c>
      <c r="X351" s="553" t="s">
        <v>46</v>
      </c>
      <c r="Y351" s="775" t="s">
        <v>880</v>
      </c>
      <c r="Z351" s="774" t="s">
        <v>829</v>
      </c>
      <c r="AA351" s="774" t="s">
        <v>829</v>
      </c>
    </row>
    <row r="352" spans="1:27" ht="45" x14ac:dyDescent="0.25">
      <c r="A352" s="763" t="s">
        <v>301</v>
      </c>
      <c r="B352" s="850" t="s">
        <v>302</v>
      </c>
      <c r="C352" s="553">
        <v>2017</v>
      </c>
      <c r="D352" s="551" t="s">
        <v>177</v>
      </c>
      <c r="E352" s="851" t="s">
        <v>303</v>
      </c>
      <c r="F352" s="802" t="s">
        <v>303</v>
      </c>
      <c r="G352" s="1139" t="s">
        <v>304</v>
      </c>
      <c r="H352" s="769">
        <v>2359.5</v>
      </c>
      <c r="I352" s="769">
        <v>1843.8889999999999</v>
      </c>
      <c r="J352" s="767">
        <v>515.6110000000001</v>
      </c>
      <c r="K352" s="862">
        <v>0</v>
      </c>
      <c r="L352" s="1545">
        <v>515.6110000000001</v>
      </c>
      <c r="M352" s="1166">
        <v>0</v>
      </c>
      <c r="N352" s="771">
        <v>0</v>
      </c>
      <c r="O352" s="773">
        <v>0</v>
      </c>
      <c r="P352" s="1751">
        <v>515.61099999999999</v>
      </c>
      <c r="Q352" s="1752">
        <v>0</v>
      </c>
      <c r="R352" s="1466">
        <f t="shared" si="16"/>
        <v>515.61099999999999</v>
      </c>
      <c r="S352" s="1167">
        <v>0</v>
      </c>
      <c r="T352" s="759">
        <v>0</v>
      </c>
      <c r="U352" s="1168">
        <v>0</v>
      </c>
      <c r="V352" s="1169">
        <v>0</v>
      </c>
      <c r="W352" s="1170" t="s">
        <v>1780</v>
      </c>
      <c r="X352" s="553" t="s">
        <v>46</v>
      </c>
      <c r="Y352" s="775" t="s">
        <v>854</v>
      </c>
      <c r="Z352" s="774" t="s">
        <v>829</v>
      </c>
      <c r="AA352" s="774" t="s">
        <v>829</v>
      </c>
    </row>
    <row r="353" spans="1:27" ht="30" x14ac:dyDescent="0.25">
      <c r="A353" s="763" t="s">
        <v>306</v>
      </c>
      <c r="B353" s="850" t="s">
        <v>307</v>
      </c>
      <c r="C353" s="553">
        <v>2017</v>
      </c>
      <c r="D353" s="553" t="s">
        <v>177</v>
      </c>
      <c r="E353" s="851" t="s">
        <v>308</v>
      </c>
      <c r="F353" s="802" t="s">
        <v>308</v>
      </c>
      <c r="G353" s="1139" t="s">
        <v>309</v>
      </c>
      <c r="H353" s="769">
        <v>1452</v>
      </c>
      <c r="I353" s="769">
        <v>1064.8</v>
      </c>
      <c r="J353" s="767">
        <v>250</v>
      </c>
      <c r="K353" s="862">
        <v>0</v>
      </c>
      <c r="L353" s="1545">
        <v>250</v>
      </c>
      <c r="M353" s="1166">
        <v>0</v>
      </c>
      <c r="N353" s="771">
        <v>137.19999999999999</v>
      </c>
      <c r="O353" s="773">
        <v>0</v>
      </c>
      <c r="P353" s="1751">
        <v>387.2</v>
      </c>
      <c r="Q353" s="1752">
        <v>0</v>
      </c>
      <c r="R353" s="1466">
        <f t="shared" si="16"/>
        <v>387.2</v>
      </c>
      <c r="S353" s="1167">
        <v>0</v>
      </c>
      <c r="T353" s="759">
        <v>0</v>
      </c>
      <c r="U353" s="1168">
        <v>0</v>
      </c>
      <c r="V353" s="1169">
        <v>0</v>
      </c>
      <c r="W353" s="1170" t="s">
        <v>1781</v>
      </c>
      <c r="X353" s="553" t="s">
        <v>46</v>
      </c>
      <c r="Y353" s="775" t="s">
        <v>310</v>
      </c>
      <c r="Z353" s="774" t="s">
        <v>829</v>
      </c>
      <c r="AA353" s="774" t="s">
        <v>829</v>
      </c>
    </row>
    <row r="354" spans="1:27" s="470" customFormat="1" ht="38.25" x14ac:dyDescent="0.25">
      <c r="A354" s="763" t="s">
        <v>311</v>
      </c>
      <c r="B354" s="850" t="s">
        <v>312</v>
      </c>
      <c r="C354" s="551">
        <v>2017</v>
      </c>
      <c r="D354" s="553" t="s">
        <v>1004</v>
      </c>
      <c r="E354" s="851" t="s">
        <v>313</v>
      </c>
      <c r="F354" s="802" t="s">
        <v>841</v>
      </c>
      <c r="G354" s="1139" t="s">
        <v>314</v>
      </c>
      <c r="H354" s="767">
        <v>31863.701000000001</v>
      </c>
      <c r="I354" s="767">
        <v>2110.4</v>
      </c>
      <c r="J354" s="767">
        <v>5000</v>
      </c>
      <c r="K354" s="862">
        <v>42.35</v>
      </c>
      <c r="L354" s="1524">
        <v>7500</v>
      </c>
      <c r="M354" s="756">
        <v>8000</v>
      </c>
      <c r="N354" s="841">
        <v>9000</v>
      </c>
      <c r="O354" s="857">
        <v>5210.9510000000009</v>
      </c>
      <c r="P354" s="770">
        <v>29710.951000000001</v>
      </c>
      <c r="Q354" s="1144">
        <v>0</v>
      </c>
      <c r="R354" s="1466">
        <f t="shared" si="16"/>
        <v>29710.951000000001</v>
      </c>
      <c r="S354" s="1167">
        <v>0</v>
      </c>
      <c r="T354" s="855">
        <v>0</v>
      </c>
      <c r="U354" s="1169">
        <v>0</v>
      </c>
      <c r="V354" s="1169">
        <v>0</v>
      </c>
      <c r="W354" s="1170" t="s">
        <v>1782</v>
      </c>
      <c r="X354" s="553" t="s">
        <v>46</v>
      </c>
      <c r="Y354" s="775" t="s">
        <v>310</v>
      </c>
      <c r="Z354" s="774" t="s">
        <v>829</v>
      </c>
      <c r="AA354" s="774" t="s">
        <v>828</v>
      </c>
    </row>
    <row r="355" spans="1:27" ht="45" x14ac:dyDescent="0.25">
      <c r="A355" s="763" t="s">
        <v>315</v>
      </c>
      <c r="B355" s="859" t="s">
        <v>316</v>
      </c>
      <c r="C355" s="551">
        <v>2017</v>
      </c>
      <c r="D355" s="553" t="s">
        <v>1003</v>
      </c>
      <c r="E355" s="851" t="s">
        <v>317</v>
      </c>
      <c r="F355" s="802" t="s">
        <v>317</v>
      </c>
      <c r="G355" s="1139" t="s">
        <v>318</v>
      </c>
      <c r="H355" s="767">
        <v>1560.66</v>
      </c>
      <c r="I355" s="767">
        <v>91.5</v>
      </c>
      <c r="J355" s="767">
        <v>469.16000000000008</v>
      </c>
      <c r="K355" s="862">
        <v>0</v>
      </c>
      <c r="L355" s="1524">
        <v>0</v>
      </c>
      <c r="M355" s="756">
        <v>469.16000000000008</v>
      </c>
      <c r="N355" s="841">
        <v>500</v>
      </c>
      <c r="O355" s="857">
        <v>500</v>
      </c>
      <c r="P355" s="770">
        <v>1469.16</v>
      </c>
      <c r="Q355" s="1144">
        <v>0</v>
      </c>
      <c r="R355" s="1466">
        <f t="shared" si="16"/>
        <v>1469.16</v>
      </c>
      <c r="S355" s="1167">
        <v>0</v>
      </c>
      <c r="T355" s="855">
        <v>0</v>
      </c>
      <c r="U355" s="1169">
        <v>0</v>
      </c>
      <c r="V355" s="1169">
        <v>0</v>
      </c>
      <c r="W355" s="553" t="s">
        <v>1783</v>
      </c>
      <c r="X355" s="553" t="s">
        <v>14</v>
      </c>
      <c r="Y355" s="775" t="s">
        <v>854</v>
      </c>
      <c r="Z355" s="774" t="s">
        <v>828</v>
      </c>
      <c r="AA355" s="774" t="s">
        <v>828</v>
      </c>
    </row>
    <row r="356" spans="1:27" ht="38.25" x14ac:dyDescent="0.25">
      <c r="A356" s="763" t="s">
        <v>319</v>
      </c>
      <c r="B356" s="859" t="s">
        <v>320</v>
      </c>
      <c r="C356" s="551">
        <v>2017</v>
      </c>
      <c r="D356" s="553" t="s">
        <v>1003</v>
      </c>
      <c r="E356" s="851" t="s">
        <v>317</v>
      </c>
      <c r="F356" s="802" t="s">
        <v>317</v>
      </c>
      <c r="G356" s="1139" t="s">
        <v>321</v>
      </c>
      <c r="H356" s="767">
        <v>200</v>
      </c>
      <c r="I356" s="767">
        <v>0</v>
      </c>
      <c r="J356" s="767">
        <v>200</v>
      </c>
      <c r="K356" s="862">
        <v>0</v>
      </c>
      <c r="L356" s="1524">
        <v>0</v>
      </c>
      <c r="M356" s="756">
        <v>200</v>
      </c>
      <c r="N356" s="841">
        <v>0</v>
      </c>
      <c r="O356" s="857">
        <v>0</v>
      </c>
      <c r="P356" s="770">
        <v>200</v>
      </c>
      <c r="Q356" s="1144">
        <v>0</v>
      </c>
      <c r="R356" s="1466">
        <f t="shared" si="16"/>
        <v>200</v>
      </c>
      <c r="S356" s="1167">
        <v>0</v>
      </c>
      <c r="T356" s="855">
        <v>0</v>
      </c>
      <c r="U356" s="857">
        <v>0</v>
      </c>
      <c r="V356" s="1169">
        <v>0</v>
      </c>
      <c r="W356" s="1170" t="s">
        <v>1784</v>
      </c>
      <c r="X356" s="553" t="s">
        <v>20</v>
      </c>
      <c r="Y356" s="775" t="s">
        <v>883</v>
      </c>
      <c r="Z356" s="774" t="s">
        <v>828</v>
      </c>
      <c r="AA356" s="774" t="s">
        <v>828</v>
      </c>
    </row>
    <row r="357" spans="1:27" ht="30" x14ac:dyDescent="0.25">
      <c r="A357" s="763" t="s">
        <v>323</v>
      </c>
      <c r="B357" s="859" t="s">
        <v>324</v>
      </c>
      <c r="C357" s="551">
        <v>2017</v>
      </c>
      <c r="D357" s="553" t="s">
        <v>995</v>
      </c>
      <c r="E357" s="851" t="s">
        <v>12</v>
      </c>
      <c r="F357" s="802" t="s">
        <v>303</v>
      </c>
      <c r="G357" s="1139" t="s">
        <v>325</v>
      </c>
      <c r="H357" s="767">
        <v>22</v>
      </c>
      <c r="I357" s="767">
        <v>0</v>
      </c>
      <c r="J357" s="767">
        <v>22</v>
      </c>
      <c r="K357" s="862">
        <v>0</v>
      </c>
      <c r="L357" s="1524">
        <v>22</v>
      </c>
      <c r="M357" s="756">
        <v>0</v>
      </c>
      <c r="N357" s="841">
        <v>0</v>
      </c>
      <c r="O357" s="857">
        <v>0</v>
      </c>
      <c r="P357" s="770">
        <v>22</v>
      </c>
      <c r="Q357" s="1144">
        <v>0</v>
      </c>
      <c r="R357" s="1466">
        <f t="shared" si="16"/>
        <v>22</v>
      </c>
      <c r="S357" s="1167">
        <v>0</v>
      </c>
      <c r="T357" s="855">
        <v>0</v>
      </c>
      <c r="U357" s="857">
        <v>0</v>
      </c>
      <c r="V357" s="1169">
        <v>0</v>
      </c>
      <c r="W357" s="1170" t="s">
        <v>1785</v>
      </c>
      <c r="X357" s="553" t="s">
        <v>46</v>
      </c>
      <c r="Y357" s="775" t="s">
        <v>883</v>
      </c>
      <c r="Z357" s="774" t="s">
        <v>829</v>
      </c>
      <c r="AA357" s="774" t="s">
        <v>829</v>
      </c>
    </row>
    <row r="358" spans="1:27" ht="25.5" x14ac:dyDescent="0.25">
      <c r="A358" s="763" t="s">
        <v>326</v>
      </c>
      <c r="B358" s="859" t="s">
        <v>327</v>
      </c>
      <c r="C358" s="551">
        <v>2017</v>
      </c>
      <c r="D358" s="553" t="s">
        <v>995</v>
      </c>
      <c r="E358" s="851" t="s">
        <v>328</v>
      </c>
      <c r="F358" s="802" t="s">
        <v>328</v>
      </c>
      <c r="G358" s="1139" t="s">
        <v>329</v>
      </c>
      <c r="H358" s="767">
        <v>200</v>
      </c>
      <c r="I358" s="767">
        <v>20.57</v>
      </c>
      <c r="J358" s="767">
        <v>179.43</v>
      </c>
      <c r="K358" s="862">
        <v>0</v>
      </c>
      <c r="L358" s="1524">
        <v>179.43</v>
      </c>
      <c r="M358" s="756">
        <v>0</v>
      </c>
      <c r="N358" s="841">
        <v>0</v>
      </c>
      <c r="O358" s="857">
        <v>0</v>
      </c>
      <c r="P358" s="770">
        <v>179.43</v>
      </c>
      <c r="Q358" s="1144">
        <v>0</v>
      </c>
      <c r="R358" s="1466">
        <f t="shared" si="16"/>
        <v>179.43</v>
      </c>
      <c r="S358" s="1167">
        <v>0</v>
      </c>
      <c r="T358" s="855">
        <v>0</v>
      </c>
      <c r="U358" s="857">
        <v>0</v>
      </c>
      <c r="V358" s="1169">
        <v>0</v>
      </c>
      <c r="W358" s="435" t="s">
        <v>1786</v>
      </c>
      <c r="X358" s="553" t="s">
        <v>46</v>
      </c>
      <c r="Y358" s="775" t="s">
        <v>977</v>
      </c>
      <c r="Z358" s="774" t="s">
        <v>828</v>
      </c>
      <c r="AA358" s="774" t="s">
        <v>828</v>
      </c>
    </row>
    <row r="359" spans="1:27" ht="38.25" x14ac:dyDescent="0.25">
      <c r="A359" s="763" t="s">
        <v>334</v>
      </c>
      <c r="B359" s="764" t="s">
        <v>335</v>
      </c>
      <c r="C359" s="819">
        <v>2018</v>
      </c>
      <c r="D359" s="819" t="s">
        <v>843</v>
      </c>
      <c r="E359" s="820" t="s">
        <v>12</v>
      </c>
      <c r="F359" s="765" t="s">
        <v>12</v>
      </c>
      <c r="G359" s="821" t="s">
        <v>336</v>
      </c>
      <c r="H359" s="769">
        <v>5000</v>
      </c>
      <c r="I359" s="769">
        <v>1382.066</v>
      </c>
      <c r="J359" s="767">
        <v>2617.9340000000002</v>
      </c>
      <c r="K359" s="862">
        <v>2498.92</v>
      </c>
      <c r="L359" s="1545">
        <f>290.014-171</f>
        <v>119.01400000000001</v>
      </c>
      <c r="M359" s="1166">
        <v>0</v>
      </c>
      <c r="N359" s="771">
        <v>0</v>
      </c>
      <c r="O359" s="773">
        <v>1000</v>
      </c>
      <c r="P359" s="1751">
        <f>3617.934-2498.92</f>
        <v>1119.0140000000001</v>
      </c>
      <c r="Q359" s="1752">
        <v>0</v>
      </c>
      <c r="R359" s="1466">
        <f t="shared" si="16"/>
        <v>1119.0140000000001</v>
      </c>
      <c r="S359" s="759">
        <v>0</v>
      </c>
      <c r="T359" s="759">
        <v>0</v>
      </c>
      <c r="U359" s="773">
        <v>0</v>
      </c>
      <c r="V359" s="1169">
        <v>0</v>
      </c>
      <c r="W359" s="1170" t="s">
        <v>1760</v>
      </c>
      <c r="X359" s="1170" t="s">
        <v>46</v>
      </c>
      <c r="Y359" s="775" t="s">
        <v>310</v>
      </c>
      <c r="Z359" s="819" t="s">
        <v>829</v>
      </c>
      <c r="AA359" s="1171" t="s">
        <v>829</v>
      </c>
    </row>
    <row r="360" spans="1:27" ht="30" x14ac:dyDescent="0.25">
      <c r="A360" s="73" t="s">
        <v>337</v>
      </c>
      <c r="B360" s="94" t="s">
        <v>338</v>
      </c>
      <c r="C360" s="5">
        <v>2018</v>
      </c>
      <c r="D360" s="5" t="s">
        <v>806</v>
      </c>
      <c r="E360" s="65" t="s">
        <v>12</v>
      </c>
      <c r="F360" s="66" t="s">
        <v>12</v>
      </c>
      <c r="G360" s="158" t="s">
        <v>844</v>
      </c>
      <c r="H360" s="14">
        <v>17500</v>
      </c>
      <c r="I360" s="14">
        <v>0</v>
      </c>
      <c r="J360" s="677">
        <v>0</v>
      </c>
      <c r="K360" s="246">
        <v>0</v>
      </c>
      <c r="L360" s="1525">
        <v>0</v>
      </c>
      <c r="M360" s="27">
        <v>0</v>
      </c>
      <c r="N360" s="247">
        <v>0</v>
      </c>
      <c r="O360" s="15">
        <v>0</v>
      </c>
      <c r="P360" s="1747">
        <v>0</v>
      </c>
      <c r="Q360" s="523">
        <v>0</v>
      </c>
      <c r="R360" s="1715">
        <f t="shared" si="16"/>
        <v>0</v>
      </c>
      <c r="S360" s="187">
        <v>0</v>
      </c>
      <c r="T360" s="16">
        <v>0</v>
      </c>
      <c r="U360" s="42">
        <v>5000</v>
      </c>
      <c r="V360" s="42">
        <v>12500</v>
      </c>
      <c r="W360" s="53" t="s">
        <v>776</v>
      </c>
      <c r="X360" s="5" t="s">
        <v>265</v>
      </c>
      <c r="Y360" s="232" t="s">
        <v>845</v>
      </c>
      <c r="Z360" s="104" t="s">
        <v>828</v>
      </c>
      <c r="AA360" s="104" t="s">
        <v>828</v>
      </c>
    </row>
    <row r="361" spans="1:27" s="467" customFormat="1" ht="30" x14ac:dyDescent="0.25">
      <c r="A361" s="75" t="s">
        <v>340</v>
      </c>
      <c r="B361" s="116" t="s">
        <v>341</v>
      </c>
      <c r="C361" s="68">
        <v>2018</v>
      </c>
      <c r="D361" s="68" t="s">
        <v>257</v>
      </c>
      <c r="E361" s="69" t="s">
        <v>12</v>
      </c>
      <c r="F361" s="69" t="s">
        <v>342</v>
      </c>
      <c r="G361" s="163" t="s">
        <v>343</v>
      </c>
      <c r="H361" s="19">
        <v>150</v>
      </c>
      <c r="I361" s="19">
        <v>0</v>
      </c>
      <c r="J361" s="1428">
        <v>150</v>
      </c>
      <c r="K361" s="648">
        <v>150</v>
      </c>
      <c r="L361" s="1563">
        <v>0</v>
      </c>
      <c r="M361" s="362">
        <v>0</v>
      </c>
      <c r="N361" s="664">
        <v>0</v>
      </c>
      <c r="O361" s="327">
        <v>0</v>
      </c>
      <c r="P361" s="1749">
        <v>0</v>
      </c>
      <c r="Q361" s="587">
        <v>0</v>
      </c>
      <c r="R361" s="1719">
        <f t="shared" si="16"/>
        <v>0</v>
      </c>
      <c r="S361" s="474">
        <v>0</v>
      </c>
      <c r="T361" s="194">
        <v>0</v>
      </c>
      <c r="U361" s="20">
        <v>0</v>
      </c>
      <c r="V361" s="20">
        <v>0</v>
      </c>
      <c r="W361" s="115" t="s">
        <v>776</v>
      </c>
      <c r="X361" s="68" t="s">
        <v>866</v>
      </c>
      <c r="Y361" s="257" t="s">
        <v>564</v>
      </c>
      <c r="Z361" s="67" t="s">
        <v>829</v>
      </c>
      <c r="AA361" s="67" t="s">
        <v>829</v>
      </c>
    </row>
    <row r="362" spans="1:27" ht="30" x14ac:dyDescent="0.25">
      <c r="A362" s="532" t="s">
        <v>344</v>
      </c>
      <c r="B362" s="793" t="s">
        <v>345</v>
      </c>
      <c r="C362" s="714">
        <v>2018</v>
      </c>
      <c r="D362" s="579" t="s">
        <v>102</v>
      </c>
      <c r="E362" s="1252" t="s">
        <v>339</v>
      </c>
      <c r="F362" s="1251" t="s">
        <v>1127</v>
      </c>
      <c r="G362" s="1253" t="s">
        <v>346</v>
      </c>
      <c r="H362" s="745">
        <v>1628.52144</v>
      </c>
      <c r="I362" s="745">
        <v>0</v>
      </c>
      <c r="J362" s="1439">
        <v>1632.22344</v>
      </c>
      <c r="K362" s="1174">
        <f>1561.438+67.08344</f>
        <v>1628.52144</v>
      </c>
      <c r="L362" s="1527">
        <v>0</v>
      </c>
      <c r="M362" s="733">
        <v>0</v>
      </c>
      <c r="N362" s="734">
        <v>0</v>
      </c>
      <c r="O362" s="735">
        <v>0</v>
      </c>
      <c r="P362" s="1845">
        <f>1632.22344-1628.52144</f>
        <v>3.7019999999999982</v>
      </c>
      <c r="Q362" s="1846">
        <f>P362*-1</f>
        <v>-3.7019999999999982</v>
      </c>
      <c r="R362" s="1721">
        <f t="shared" si="16"/>
        <v>0</v>
      </c>
      <c r="S362" s="538">
        <v>0</v>
      </c>
      <c r="T362" s="732">
        <v>0</v>
      </c>
      <c r="U362" s="735">
        <v>0</v>
      </c>
      <c r="V362" s="735">
        <v>0</v>
      </c>
      <c r="W362" s="463" t="s">
        <v>1911</v>
      </c>
      <c r="X362" s="461" t="s">
        <v>866</v>
      </c>
      <c r="Y362" s="799" t="s">
        <v>305</v>
      </c>
      <c r="Z362" s="798" t="s">
        <v>829</v>
      </c>
      <c r="AA362" s="798" t="s">
        <v>829</v>
      </c>
    </row>
    <row r="363" spans="1:27" ht="30" x14ac:dyDescent="0.25">
      <c r="A363" s="763" t="s">
        <v>347</v>
      </c>
      <c r="B363" s="764" t="s">
        <v>348</v>
      </c>
      <c r="C363" s="553">
        <v>2018</v>
      </c>
      <c r="D363" s="819" t="s">
        <v>102</v>
      </c>
      <c r="E363" s="820" t="s">
        <v>349</v>
      </c>
      <c r="F363" s="765" t="s">
        <v>349</v>
      </c>
      <c r="G363" s="821" t="s">
        <v>350</v>
      </c>
      <c r="H363" s="769">
        <v>19061.2</v>
      </c>
      <c r="I363" s="769">
        <v>0</v>
      </c>
      <c r="J363" s="767">
        <v>3887.79</v>
      </c>
      <c r="K363" s="862">
        <f>1087.79+597.268</f>
        <v>1685.058</v>
      </c>
      <c r="L363" s="1524">
        <f>2500-597.268</f>
        <v>1902.732</v>
      </c>
      <c r="M363" s="756">
        <v>3000</v>
      </c>
      <c r="N363" s="841">
        <v>3500</v>
      </c>
      <c r="O363" s="857">
        <v>800</v>
      </c>
      <c r="P363" s="1847">
        <f>9800-597.268</f>
        <v>9202.732</v>
      </c>
      <c r="Q363" s="1848">
        <v>0</v>
      </c>
      <c r="R363" s="1466">
        <f t="shared" si="16"/>
        <v>9202.732</v>
      </c>
      <c r="S363" s="1167">
        <v>0</v>
      </c>
      <c r="T363" s="759">
        <v>0</v>
      </c>
      <c r="U363" s="1169">
        <v>8173.41</v>
      </c>
      <c r="V363" s="1169">
        <v>0</v>
      </c>
      <c r="W363" s="435" t="s">
        <v>1912</v>
      </c>
      <c r="X363" s="1170" t="s">
        <v>46</v>
      </c>
      <c r="Y363" s="1515" t="s">
        <v>1377</v>
      </c>
      <c r="Z363" s="819" t="s">
        <v>829</v>
      </c>
      <c r="AA363" s="819" t="s">
        <v>829</v>
      </c>
    </row>
    <row r="364" spans="1:27" ht="30" x14ac:dyDescent="0.25">
      <c r="A364" s="73" t="s">
        <v>351</v>
      </c>
      <c r="B364" s="87" t="s">
        <v>352</v>
      </c>
      <c r="C364" s="5">
        <v>2018</v>
      </c>
      <c r="D364" s="5" t="s">
        <v>806</v>
      </c>
      <c r="E364" s="65" t="s">
        <v>353</v>
      </c>
      <c r="F364" s="66" t="s">
        <v>353</v>
      </c>
      <c r="G364" s="158" t="s">
        <v>354</v>
      </c>
      <c r="H364" s="14">
        <v>44571.911999999997</v>
      </c>
      <c r="I364" s="14">
        <v>0</v>
      </c>
      <c r="J364" s="677">
        <v>0</v>
      </c>
      <c r="K364" s="246">
        <v>0</v>
      </c>
      <c r="L364" s="1534">
        <v>0</v>
      </c>
      <c r="M364" s="25">
        <v>0</v>
      </c>
      <c r="N364" s="420">
        <v>2633.703</v>
      </c>
      <c r="O364" s="2">
        <v>0</v>
      </c>
      <c r="P364" s="1849">
        <v>2633.703</v>
      </c>
      <c r="Q364" s="1850">
        <v>0</v>
      </c>
      <c r="R364" s="1715">
        <f t="shared" si="16"/>
        <v>2633.703</v>
      </c>
      <c r="S364" s="187">
        <v>0</v>
      </c>
      <c r="T364" s="16">
        <v>0</v>
      </c>
      <c r="U364" s="43">
        <v>25571.912</v>
      </c>
      <c r="V364" s="43">
        <v>16366.297</v>
      </c>
      <c r="W364" s="53" t="s">
        <v>776</v>
      </c>
      <c r="X364" s="5" t="s">
        <v>14</v>
      </c>
      <c r="Y364" s="232" t="s">
        <v>854</v>
      </c>
      <c r="Z364" s="104" t="s">
        <v>828</v>
      </c>
      <c r="AA364" s="104" t="s">
        <v>828</v>
      </c>
    </row>
    <row r="365" spans="1:27" s="467" customFormat="1" ht="25.5" x14ac:dyDescent="0.25">
      <c r="A365" s="75" t="s">
        <v>355</v>
      </c>
      <c r="B365" s="116" t="s">
        <v>356</v>
      </c>
      <c r="C365" s="68">
        <v>2018</v>
      </c>
      <c r="D365" s="68" t="s">
        <v>806</v>
      </c>
      <c r="E365" s="69" t="s">
        <v>295</v>
      </c>
      <c r="F365" s="77" t="s">
        <v>841</v>
      </c>
      <c r="G365" s="163" t="s">
        <v>357</v>
      </c>
      <c r="H365" s="19">
        <v>199.892</v>
      </c>
      <c r="I365" s="19">
        <v>0</v>
      </c>
      <c r="J365" s="1428">
        <v>200</v>
      </c>
      <c r="K365" s="648">
        <v>199.892</v>
      </c>
      <c r="L365" s="335">
        <v>0</v>
      </c>
      <c r="M365" s="37">
        <v>0</v>
      </c>
      <c r="N365" s="255">
        <v>0</v>
      </c>
      <c r="O365" s="20">
        <v>0</v>
      </c>
      <c r="P365" s="1851">
        <v>0</v>
      </c>
      <c r="Q365" s="1852">
        <v>0</v>
      </c>
      <c r="R365" s="1719">
        <f t="shared" si="16"/>
        <v>0</v>
      </c>
      <c r="S365" s="474">
        <v>0</v>
      </c>
      <c r="T365" s="21">
        <v>0</v>
      </c>
      <c r="U365" s="256">
        <v>0</v>
      </c>
      <c r="V365" s="256">
        <v>0</v>
      </c>
      <c r="W365" s="115" t="s">
        <v>776</v>
      </c>
      <c r="X365" s="68" t="s">
        <v>866</v>
      </c>
      <c r="Y365" s="257" t="s">
        <v>563</v>
      </c>
      <c r="Z365" s="67" t="s">
        <v>829</v>
      </c>
      <c r="AA365" s="67" t="s">
        <v>829</v>
      </c>
    </row>
    <row r="366" spans="1:27" ht="25.5" x14ac:dyDescent="0.25">
      <c r="A366" s="763" t="s">
        <v>358</v>
      </c>
      <c r="B366" s="850" t="s">
        <v>359</v>
      </c>
      <c r="C366" s="553">
        <v>2018</v>
      </c>
      <c r="D366" s="553" t="s">
        <v>806</v>
      </c>
      <c r="E366" s="851" t="s">
        <v>360</v>
      </c>
      <c r="F366" s="802" t="s">
        <v>846</v>
      </c>
      <c r="G366" s="1139" t="s">
        <v>361</v>
      </c>
      <c r="H366" s="767">
        <v>6316.7610000000004</v>
      </c>
      <c r="I366" s="767">
        <v>0</v>
      </c>
      <c r="J366" s="767">
        <v>6316.7610000000004</v>
      </c>
      <c r="K366" s="862">
        <f>5927.21922+351.02349</f>
        <v>6278.2427099999995</v>
      </c>
      <c r="L366" s="1524">
        <f>389.54178-351.02349</f>
        <v>38.518290000000036</v>
      </c>
      <c r="M366" s="756">
        <v>0</v>
      </c>
      <c r="N366" s="841">
        <v>0</v>
      </c>
      <c r="O366" s="857">
        <v>0</v>
      </c>
      <c r="P366" s="1847">
        <f>6316.761-5927.21922-351.02349</f>
        <v>38.518290000000491</v>
      </c>
      <c r="Q366" s="1848">
        <v>0</v>
      </c>
      <c r="R366" s="1466">
        <f t="shared" si="16"/>
        <v>38.518290000000491</v>
      </c>
      <c r="S366" s="1167">
        <v>0</v>
      </c>
      <c r="T366" s="855">
        <v>0</v>
      </c>
      <c r="U366" s="1169">
        <v>0</v>
      </c>
      <c r="V366" s="1169">
        <v>0</v>
      </c>
      <c r="W366" s="1170" t="s">
        <v>1913</v>
      </c>
      <c r="X366" s="553" t="s">
        <v>46</v>
      </c>
      <c r="Y366" s="775" t="s">
        <v>883</v>
      </c>
      <c r="Z366" s="774" t="s">
        <v>829</v>
      </c>
      <c r="AA366" s="1199" t="s">
        <v>829</v>
      </c>
    </row>
    <row r="367" spans="1:27" ht="25.5" x14ac:dyDescent="0.25">
      <c r="A367" s="763" t="s">
        <v>362</v>
      </c>
      <c r="B367" s="850" t="s">
        <v>363</v>
      </c>
      <c r="C367" s="553">
        <v>2018</v>
      </c>
      <c r="D367" s="553" t="s">
        <v>806</v>
      </c>
      <c r="E367" s="851" t="s">
        <v>353</v>
      </c>
      <c r="F367" s="802" t="s">
        <v>353</v>
      </c>
      <c r="G367" s="1139" t="s">
        <v>364</v>
      </c>
      <c r="H367" s="767">
        <v>96.8</v>
      </c>
      <c r="I367" s="767">
        <v>0</v>
      </c>
      <c r="J367" s="767">
        <v>60.5</v>
      </c>
      <c r="K367" s="862">
        <v>0</v>
      </c>
      <c r="L367" s="1524">
        <v>0</v>
      </c>
      <c r="M367" s="756">
        <v>60.5</v>
      </c>
      <c r="N367" s="841">
        <f>P367-M367</f>
        <v>36.299999999999997</v>
      </c>
      <c r="O367" s="857">
        <v>0</v>
      </c>
      <c r="P367" s="1847">
        <v>96.8</v>
      </c>
      <c r="Q367" s="1848">
        <v>0</v>
      </c>
      <c r="R367" s="1466">
        <f t="shared" si="16"/>
        <v>96.8</v>
      </c>
      <c r="S367" s="1167">
        <v>0</v>
      </c>
      <c r="T367" s="855">
        <v>0</v>
      </c>
      <c r="U367" s="1169">
        <v>0</v>
      </c>
      <c r="V367" s="1169">
        <v>0</v>
      </c>
      <c r="W367" s="1170" t="s">
        <v>1761</v>
      </c>
      <c r="X367" s="553" t="s">
        <v>20</v>
      </c>
      <c r="Y367" s="775" t="s">
        <v>977</v>
      </c>
      <c r="Z367" s="774" t="s">
        <v>828</v>
      </c>
      <c r="AA367" s="774" t="s">
        <v>828</v>
      </c>
    </row>
    <row r="368" spans="1:27" ht="30" x14ac:dyDescent="0.25">
      <c r="A368" s="64" t="s">
        <v>365</v>
      </c>
      <c r="B368" s="87" t="s">
        <v>366</v>
      </c>
      <c r="C368" s="5">
        <v>2018</v>
      </c>
      <c r="D368" s="5" t="s">
        <v>806</v>
      </c>
      <c r="E368" s="65" t="s">
        <v>367</v>
      </c>
      <c r="F368" s="66" t="s">
        <v>368</v>
      </c>
      <c r="G368" s="158" t="s">
        <v>369</v>
      </c>
      <c r="H368" s="14">
        <v>248655</v>
      </c>
      <c r="I368" s="14">
        <v>0</v>
      </c>
      <c r="J368" s="677">
        <v>0</v>
      </c>
      <c r="K368" s="246">
        <v>0</v>
      </c>
      <c r="L368" s="1525">
        <v>0</v>
      </c>
      <c r="M368" s="27">
        <v>6691</v>
      </c>
      <c r="N368" s="247">
        <v>0</v>
      </c>
      <c r="O368" s="15">
        <v>0</v>
      </c>
      <c r="P368" s="1853">
        <v>6691</v>
      </c>
      <c r="Q368" s="1854">
        <v>0</v>
      </c>
      <c r="R368" s="1715">
        <f t="shared" si="16"/>
        <v>6691</v>
      </c>
      <c r="S368" s="187">
        <v>0</v>
      </c>
      <c r="T368" s="16">
        <v>0</v>
      </c>
      <c r="U368" s="42">
        <v>18764</v>
      </c>
      <c r="V368" s="42">
        <v>223200</v>
      </c>
      <c r="W368" s="53" t="s">
        <v>776</v>
      </c>
      <c r="X368" s="5" t="s">
        <v>14</v>
      </c>
      <c r="Y368" s="232" t="s">
        <v>883</v>
      </c>
      <c r="Z368" s="104" t="s">
        <v>828</v>
      </c>
      <c r="AA368" s="104" t="s">
        <v>828</v>
      </c>
    </row>
    <row r="369" spans="1:27" ht="30.75" thickBot="1" x14ac:dyDescent="0.3">
      <c r="A369" s="869" t="s">
        <v>370</v>
      </c>
      <c r="B369" s="870" t="s">
        <v>371</v>
      </c>
      <c r="C369" s="871">
        <v>2018</v>
      </c>
      <c r="D369" s="871" t="s">
        <v>806</v>
      </c>
      <c r="E369" s="872" t="s">
        <v>303</v>
      </c>
      <c r="F369" s="1204" t="s">
        <v>303</v>
      </c>
      <c r="G369" s="1205" t="s">
        <v>847</v>
      </c>
      <c r="H369" s="874">
        <v>248655</v>
      </c>
      <c r="I369" s="874">
        <v>0</v>
      </c>
      <c r="J369" s="874">
        <v>1000</v>
      </c>
      <c r="K369" s="1209">
        <v>0</v>
      </c>
      <c r="L369" s="1532">
        <v>1000</v>
      </c>
      <c r="M369" s="877">
        <v>1000</v>
      </c>
      <c r="N369" s="878">
        <v>5155</v>
      </c>
      <c r="O369" s="879">
        <v>0</v>
      </c>
      <c r="P369" s="1855">
        <v>7155</v>
      </c>
      <c r="Q369" s="1856">
        <v>0</v>
      </c>
      <c r="R369" s="1717">
        <f t="shared" si="16"/>
        <v>7155</v>
      </c>
      <c r="S369" s="880">
        <v>0</v>
      </c>
      <c r="T369" s="880">
        <v>0</v>
      </c>
      <c r="U369" s="1206">
        <v>18300</v>
      </c>
      <c r="V369" s="1206">
        <v>223200</v>
      </c>
      <c r="W369" s="1207" t="s">
        <v>1751</v>
      </c>
      <c r="X369" s="871" t="s">
        <v>14</v>
      </c>
      <c r="Y369" s="882" t="s">
        <v>883</v>
      </c>
      <c r="Z369" s="881" t="s">
        <v>828</v>
      </c>
      <c r="AA369" s="881" t="s">
        <v>828</v>
      </c>
    </row>
    <row r="370" spans="1:27" s="464" customFormat="1" ht="45" x14ac:dyDescent="0.25">
      <c r="A370" s="1267" t="s">
        <v>372</v>
      </c>
      <c r="B370" s="1268" t="s">
        <v>848</v>
      </c>
      <c r="C370" s="714">
        <v>2019</v>
      </c>
      <c r="D370" s="714" t="s">
        <v>801</v>
      </c>
      <c r="E370" s="1252" t="s">
        <v>317</v>
      </c>
      <c r="F370" s="1251" t="s">
        <v>317</v>
      </c>
      <c r="G370" s="1269" t="s">
        <v>373</v>
      </c>
      <c r="H370" s="745">
        <f>1118.35854-6.85033</f>
        <v>1111.50821</v>
      </c>
      <c r="I370" s="745">
        <v>0</v>
      </c>
      <c r="J370" s="1459">
        <v>1118.3585399999999</v>
      </c>
      <c r="K370" s="1174">
        <v>1111.50821</v>
      </c>
      <c r="L370" s="1564">
        <v>0</v>
      </c>
      <c r="M370" s="1173">
        <v>0</v>
      </c>
      <c r="N370" s="1255">
        <v>0</v>
      </c>
      <c r="O370" s="1254">
        <v>0</v>
      </c>
      <c r="P370" s="1857">
        <v>6.8503299999999996</v>
      </c>
      <c r="Q370" s="1858">
        <v>-6.8503299999998699</v>
      </c>
      <c r="R370" s="1721">
        <f t="shared" si="16"/>
        <v>1.2967404927621828E-13</v>
      </c>
      <c r="S370" s="867">
        <v>0</v>
      </c>
      <c r="T370" s="867">
        <v>0</v>
      </c>
      <c r="U370" s="1270">
        <v>0</v>
      </c>
      <c r="V370" s="1270">
        <v>0</v>
      </c>
      <c r="W370" s="714" t="s">
        <v>1762</v>
      </c>
      <c r="X370" s="355" t="s">
        <v>866</v>
      </c>
      <c r="Y370" s="1271" t="s">
        <v>305</v>
      </c>
      <c r="Z370" s="1272" t="s">
        <v>829</v>
      </c>
      <c r="AA370" s="1272" t="s">
        <v>829</v>
      </c>
    </row>
    <row r="371" spans="1:27" ht="25.5" x14ac:dyDescent="0.25">
      <c r="A371" s="532" t="s">
        <v>374</v>
      </c>
      <c r="B371" s="533" t="s">
        <v>849</v>
      </c>
      <c r="C371" s="461">
        <v>2019</v>
      </c>
      <c r="D371" s="461" t="s">
        <v>801</v>
      </c>
      <c r="E371" s="730" t="s">
        <v>349</v>
      </c>
      <c r="F371" s="800" t="s">
        <v>349</v>
      </c>
      <c r="G371" s="1241" t="s">
        <v>375</v>
      </c>
      <c r="H371" s="462">
        <v>894.50161000000003</v>
      </c>
      <c r="I371" s="462">
        <v>0</v>
      </c>
      <c r="J371" s="1439">
        <v>900.38499999999999</v>
      </c>
      <c r="K371" s="1174">
        <f>62+798.4306+34.07101</f>
        <v>894.50161000000003</v>
      </c>
      <c r="L371" s="1527">
        <v>0</v>
      </c>
      <c r="M371" s="733">
        <v>0</v>
      </c>
      <c r="N371" s="734">
        <v>0</v>
      </c>
      <c r="O371" s="735">
        <v>0</v>
      </c>
      <c r="P371" s="1845">
        <f>838.385-832.50161</f>
        <v>5.883389999999963</v>
      </c>
      <c r="Q371" s="1846">
        <f>-1*P371</f>
        <v>-5.883389999999963</v>
      </c>
      <c r="R371" s="1721">
        <f t="shared" si="16"/>
        <v>0</v>
      </c>
      <c r="S371" s="732">
        <v>0</v>
      </c>
      <c r="T371" s="732">
        <v>0</v>
      </c>
      <c r="U371" s="541">
        <v>0</v>
      </c>
      <c r="V371" s="541">
        <v>0</v>
      </c>
      <c r="W371" s="353" t="s">
        <v>1914</v>
      </c>
      <c r="X371" s="463" t="s">
        <v>866</v>
      </c>
      <c r="Y371" s="799" t="s">
        <v>305</v>
      </c>
      <c r="Z371" s="1624" t="s">
        <v>829</v>
      </c>
      <c r="AA371" s="1624" t="s">
        <v>829</v>
      </c>
    </row>
    <row r="372" spans="1:27" ht="30" x14ac:dyDescent="0.25">
      <c r="A372" s="763" t="s">
        <v>376</v>
      </c>
      <c r="B372" s="850" t="s">
        <v>850</v>
      </c>
      <c r="C372" s="553">
        <v>2019</v>
      </c>
      <c r="D372" s="553" t="s">
        <v>801</v>
      </c>
      <c r="E372" s="851" t="s">
        <v>303</v>
      </c>
      <c r="F372" s="802" t="s">
        <v>303</v>
      </c>
      <c r="G372" s="1139" t="s">
        <v>377</v>
      </c>
      <c r="H372" s="767">
        <v>11500</v>
      </c>
      <c r="I372" s="767">
        <v>0</v>
      </c>
      <c r="J372" s="767">
        <v>0</v>
      </c>
      <c r="K372" s="862">
        <v>299.11333000000002</v>
      </c>
      <c r="L372" s="1524">
        <v>0</v>
      </c>
      <c r="M372" s="756">
        <v>1200.8866699999999</v>
      </c>
      <c r="N372" s="841">
        <v>0</v>
      </c>
      <c r="O372" s="857">
        <v>0</v>
      </c>
      <c r="P372" s="1847">
        <v>700.88666999999998</v>
      </c>
      <c r="Q372" s="1848">
        <v>500</v>
      </c>
      <c r="R372" s="1466">
        <f t="shared" si="16"/>
        <v>1200.8866699999999</v>
      </c>
      <c r="S372" s="855">
        <v>0</v>
      </c>
      <c r="T372" s="855">
        <v>0</v>
      </c>
      <c r="U372" s="1169">
        <v>10000</v>
      </c>
      <c r="V372" s="1169">
        <v>0</v>
      </c>
      <c r="W372" s="553" t="s">
        <v>1835</v>
      </c>
      <c r="X372" s="435" t="s">
        <v>14</v>
      </c>
      <c r="Y372" s="775" t="s">
        <v>883</v>
      </c>
      <c r="Z372" s="1175" t="s">
        <v>828</v>
      </c>
      <c r="AA372" s="1171" t="s">
        <v>828</v>
      </c>
    </row>
    <row r="373" spans="1:27" ht="30" customHeight="1" x14ac:dyDescent="0.25">
      <c r="A373" s="763" t="s">
        <v>378</v>
      </c>
      <c r="B373" s="850" t="s">
        <v>851</v>
      </c>
      <c r="C373" s="553">
        <v>2019</v>
      </c>
      <c r="D373" s="553" t="s">
        <v>801</v>
      </c>
      <c r="E373" s="851" t="s">
        <v>332</v>
      </c>
      <c r="F373" s="802" t="s">
        <v>339</v>
      </c>
      <c r="G373" s="1139" t="s">
        <v>379</v>
      </c>
      <c r="H373" s="767">
        <v>46500</v>
      </c>
      <c r="I373" s="767">
        <v>0</v>
      </c>
      <c r="J373" s="767">
        <v>1500</v>
      </c>
      <c r="K373" s="862">
        <v>0</v>
      </c>
      <c r="L373" s="1524">
        <v>2500</v>
      </c>
      <c r="M373" s="756">
        <v>4500</v>
      </c>
      <c r="N373" s="841">
        <v>3000</v>
      </c>
      <c r="O373" s="857">
        <v>1500</v>
      </c>
      <c r="P373" s="1847">
        <v>11500</v>
      </c>
      <c r="Q373" s="1848">
        <v>0</v>
      </c>
      <c r="R373" s="1466">
        <f t="shared" si="16"/>
        <v>11500</v>
      </c>
      <c r="S373" s="855">
        <v>0</v>
      </c>
      <c r="T373" s="855">
        <v>0</v>
      </c>
      <c r="U373" s="1169">
        <v>18500</v>
      </c>
      <c r="V373" s="1169">
        <v>16500</v>
      </c>
      <c r="W373" s="435" t="s">
        <v>1763</v>
      </c>
      <c r="X373" s="435" t="s">
        <v>46</v>
      </c>
      <c r="Y373" s="775" t="s">
        <v>1759</v>
      </c>
      <c r="Z373" s="1175" t="s">
        <v>829</v>
      </c>
      <c r="AA373" s="1175" t="s">
        <v>829</v>
      </c>
    </row>
    <row r="374" spans="1:27" ht="30" x14ac:dyDescent="0.25">
      <c r="A374" s="849" t="s">
        <v>380</v>
      </c>
      <c r="B374" s="850" t="s">
        <v>852</v>
      </c>
      <c r="C374" s="553">
        <v>2019</v>
      </c>
      <c r="D374" s="553" t="s">
        <v>801</v>
      </c>
      <c r="E374" s="851" t="s">
        <v>381</v>
      </c>
      <c r="F374" s="802" t="s">
        <v>381</v>
      </c>
      <c r="G374" s="1139" t="s">
        <v>382</v>
      </c>
      <c r="H374" s="767">
        <v>7499.5144399999999</v>
      </c>
      <c r="I374" s="767">
        <v>0</v>
      </c>
      <c r="J374" s="767">
        <v>3250</v>
      </c>
      <c r="K374" s="862">
        <v>0</v>
      </c>
      <c r="L374" s="1524">
        <v>1000</v>
      </c>
      <c r="M374" s="756">
        <v>2250</v>
      </c>
      <c r="N374" s="841">
        <v>3000</v>
      </c>
      <c r="O374" s="857">
        <v>1249.5144399999999</v>
      </c>
      <c r="P374" s="1847">
        <v>7499.5144399999999</v>
      </c>
      <c r="Q374" s="1848">
        <v>0</v>
      </c>
      <c r="R374" s="1466">
        <f t="shared" si="16"/>
        <v>7499.5144399999999</v>
      </c>
      <c r="S374" s="855">
        <v>0</v>
      </c>
      <c r="T374" s="855">
        <v>0</v>
      </c>
      <c r="U374" s="1169">
        <v>0</v>
      </c>
      <c r="V374" s="1169">
        <v>0</v>
      </c>
      <c r="W374" s="553" t="s">
        <v>1764</v>
      </c>
      <c r="X374" s="435" t="s">
        <v>46</v>
      </c>
      <c r="Y374" s="775" t="s">
        <v>310</v>
      </c>
      <c r="Z374" s="1175" t="s">
        <v>829</v>
      </c>
      <c r="AA374" s="1175" t="s">
        <v>829</v>
      </c>
    </row>
    <row r="375" spans="1:27" s="466" customFormat="1" ht="30" x14ac:dyDescent="0.25">
      <c r="A375" s="73" t="s">
        <v>383</v>
      </c>
      <c r="B375" s="87" t="s">
        <v>853</v>
      </c>
      <c r="C375" s="5">
        <v>2019</v>
      </c>
      <c r="D375" s="5" t="s">
        <v>801</v>
      </c>
      <c r="E375" s="65" t="s">
        <v>296</v>
      </c>
      <c r="F375" s="66" t="s">
        <v>296</v>
      </c>
      <c r="G375" s="158" t="s">
        <v>793</v>
      </c>
      <c r="H375" s="14">
        <v>50410.85</v>
      </c>
      <c r="I375" s="14">
        <v>0</v>
      </c>
      <c r="J375" s="677">
        <v>0</v>
      </c>
      <c r="K375" s="246">
        <v>0</v>
      </c>
      <c r="L375" s="1525">
        <v>0</v>
      </c>
      <c r="M375" s="27">
        <v>3630</v>
      </c>
      <c r="N375" s="247">
        <v>0</v>
      </c>
      <c r="O375" s="15">
        <v>0</v>
      </c>
      <c r="P375" s="1853">
        <v>3630</v>
      </c>
      <c r="Q375" s="1854">
        <v>0</v>
      </c>
      <c r="R375" s="1715">
        <f t="shared" si="16"/>
        <v>3630</v>
      </c>
      <c r="S375" s="16">
        <v>0</v>
      </c>
      <c r="T375" s="16">
        <v>0</v>
      </c>
      <c r="U375" s="42">
        <v>16370</v>
      </c>
      <c r="V375" s="42">
        <v>30410.85</v>
      </c>
      <c r="W375" s="5" t="s">
        <v>776</v>
      </c>
      <c r="X375" s="53" t="s">
        <v>14</v>
      </c>
      <c r="Y375" s="232" t="s">
        <v>883</v>
      </c>
      <c r="Z375" s="404" t="s">
        <v>828</v>
      </c>
      <c r="AA375" s="404" t="s">
        <v>828</v>
      </c>
    </row>
    <row r="376" spans="1:27" ht="30" customHeight="1" x14ac:dyDescent="0.25">
      <c r="A376" s="763" t="s">
        <v>384</v>
      </c>
      <c r="B376" s="850" t="s">
        <v>855</v>
      </c>
      <c r="C376" s="553">
        <v>2019</v>
      </c>
      <c r="D376" s="553" t="s">
        <v>801</v>
      </c>
      <c r="E376" s="851" t="s">
        <v>333</v>
      </c>
      <c r="F376" s="802" t="s">
        <v>333</v>
      </c>
      <c r="G376" s="1139" t="s">
        <v>385</v>
      </c>
      <c r="H376" s="767">
        <v>8500</v>
      </c>
      <c r="I376" s="767">
        <v>0</v>
      </c>
      <c r="J376" s="767">
        <v>200.00000000000045</v>
      </c>
      <c r="K376" s="862">
        <v>195.82900000000001</v>
      </c>
      <c r="L376" s="1524">
        <f>234.23-30.059</f>
        <v>204.17099999999999</v>
      </c>
      <c r="M376" s="756">
        <v>1000</v>
      </c>
      <c r="N376" s="841">
        <v>1600</v>
      </c>
      <c r="O376" s="857">
        <v>0</v>
      </c>
      <c r="P376" s="1847">
        <f>2834.23-30.059</f>
        <v>2804.1709999999998</v>
      </c>
      <c r="Q376" s="1848">
        <v>0</v>
      </c>
      <c r="R376" s="1466">
        <f t="shared" si="16"/>
        <v>2804.1709999999998</v>
      </c>
      <c r="S376" s="855">
        <v>0</v>
      </c>
      <c r="T376" s="855">
        <v>0</v>
      </c>
      <c r="U376" s="1169">
        <v>5500</v>
      </c>
      <c r="V376" s="1169">
        <v>0</v>
      </c>
      <c r="W376" s="553" t="s">
        <v>1765</v>
      </c>
      <c r="X376" s="435" t="s">
        <v>20</v>
      </c>
      <c r="Y376" s="775" t="s">
        <v>854</v>
      </c>
      <c r="Z376" s="1175" t="s">
        <v>828</v>
      </c>
      <c r="AA376" s="1175" t="s">
        <v>828</v>
      </c>
    </row>
    <row r="377" spans="1:27" ht="25.5" x14ac:dyDescent="0.25">
      <c r="A377" s="763" t="s">
        <v>386</v>
      </c>
      <c r="B377" s="850" t="s">
        <v>856</v>
      </c>
      <c r="C377" s="553">
        <v>2019</v>
      </c>
      <c r="D377" s="553" t="s">
        <v>801</v>
      </c>
      <c r="E377" s="851" t="s">
        <v>333</v>
      </c>
      <c r="F377" s="802" t="s">
        <v>333</v>
      </c>
      <c r="G377" s="1139" t="s">
        <v>387</v>
      </c>
      <c r="H377" s="767">
        <v>570</v>
      </c>
      <c r="I377" s="767">
        <v>0</v>
      </c>
      <c r="J377" s="767">
        <v>570</v>
      </c>
      <c r="K377" s="862">
        <v>276.40499999999997</v>
      </c>
      <c r="L377" s="1524">
        <v>293.59500000000003</v>
      </c>
      <c r="M377" s="756">
        <v>0</v>
      </c>
      <c r="N377" s="841">
        <v>0</v>
      </c>
      <c r="O377" s="857">
        <v>0</v>
      </c>
      <c r="P377" s="1847">
        <f>570-191.18-85.225</f>
        <v>293.59500000000003</v>
      </c>
      <c r="Q377" s="1848">
        <v>0</v>
      </c>
      <c r="R377" s="1466">
        <f t="shared" si="16"/>
        <v>293.59500000000003</v>
      </c>
      <c r="S377" s="855">
        <v>0</v>
      </c>
      <c r="T377" s="855">
        <v>0</v>
      </c>
      <c r="U377" s="1169">
        <v>0</v>
      </c>
      <c r="V377" s="1169">
        <v>0</v>
      </c>
      <c r="W377" s="1170" t="s">
        <v>1766</v>
      </c>
      <c r="X377" s="435" t="s">
        <v>46</v>
      </c>
      <c r="Y377" s="775" t="s">
        <v>883</v>
      </c>
      <c r="Z377" s="1175" t="s">
        <v>829</v>
      </c>
      <c r="AA377" s="1171" t="s">
        <v>829</v>
      </c>
    </row>
    <row r="378" spans="1:27" s="464" customFormat="1" ht="25.5" x14ac:dyDescent="0.25">
      <c r="A378" s="75" t="s">
        <v>388</v>
      </c>
      <c r="B378" s="116" t="s">
        <v>857</v>
      </c>
      <c r="C378" s="68">
        <v>2019</v>
      </c>
      <c r="D378" s="68" t="s">
        <v>801</v>
      </c>
      <c r="E378" s="69" t="s">
        <v>295</v>
      </c>
      <c r="F378" s="77" t="s">
        <v>841</v>
      </c>
      <c r="G378" s="163" t="s">
        <v>389</v>
      </c>
      <c r="H378" s="19">
        <v>87.241</v>
      </c>
      <c r="I378" s="19">
        <v>0</v>
      </c>
      <c r="J378" s="1428">
        <v>87.241</v>
      </c>
      <c r="K378" s="584">
        <v>87.241</v>
      </c>
      <c r="L378" s="335">
        <v>0</v>
      </c>
      <c r="M378" s="37">
        <v>0</v>
      </c>
      <c r="N378" s="255">
        <v>0</v>
      </c>
      <c r="O378" s="20">
        <v>0</v>
      </c>
      <c r="P378" s="1851">
        <v>0</v>
      </c>
      <c r="Q378" s="1852">
        <v>0</v>
      </c>
      <c r="R378" s="1719">
        <f t="shared" si="16"/>
        <v>0</v>
      </c>
      <c r="S378" s="21">
        <v>0</v>
      </c>
      <c r="T378" s="21">
        <v>0</v>
      </c>
      <c r="U378" s="256">
        <v>0</v>
      </c>
      <c r="V378" s="256">
        <v>0</v>
      </c>
      <c r="W378" s="68" t="s">
        <v>776</v>
      </c>
      <c r="X378" s="115" t="s">
        <v>866</v>
      </c>
      <c r="Y378" s="257" t="s">
        <v>1384</v>
      </c>
      <c r="Z378" s="405" t="s">
        <v>829</v>
      </c>
      <c r="AA378" s="405" t="s">
        <v>829</v>
      </c>
    </row>
    <row r="379" spans="1:27" s="464" customFormat="1" ht="25.5" x14ac:dyDescent="0.25">
      <c r="A379" s="75" t="s">
        <v>390</v>
      </c>
      <c r="B379" s="116" t="s">
        <v>858</v>
      </c>
      <c r="C379" s="68">
        <v>2019</v>
      </c>
      <c r="D379" s="68" t="s">
        <v>801</v>
      </c>
      <c r="E379" s="69" t="s">
        <v>381</v>
      </c>
      <c r="F379" s="77" t="s">
        <v>381</v>
      </c>
      <c r="G379" s="163" t="s">
        <v>391</v>
      </c>
      <c r="H379" s="19">
        <v>146.23500000000001</v>
      </c>
      <c r="I379" s="19">
        <v>0</v>
      </c>
      <c r="J379" s="1428">
        <v>146.23500000000001</v>
      </c>
      <c r="K379" s="584">
        <v>146.23500000000001</v>
      </c>
      <c r="L379" s="335">
        <v>0</v>
      </c>
      <c r="M379" s="37">
        <v>0</v>
      </c>
      <c r="N379" s="255">
        <v>0</v>
      </c>
      <c r="O379" s="20">
        <v>0</v>
      </c>
      <c r="P379" s="1851">
        <v>0</v>
      </c>
      <c r="Q379" s="1852">
        <v>0</v>
      </c>
      <c r="R379" s="1719">
        <f t="shared" si="16"/>
        <v>0</v>
      </c>
      <c r="S379" s="21">
        <v>0</v>
      </c>
      <c r="T379" s="21">
        <v>0</v>
      </c>
      <c r="U379" s="256">
        <v>0</v>
      </c>
      <c r="V379" s="256">
        <v>0</v>
      </c>
      <c r="W379" s="68" t="s">
        <v>776</v>
      </c>
      <c r="X379" s="115" t="s">
        <v>866</v>
      </c>
      <c r="Y379" s="257" t="s">
        <v>747</v>
      </c>
      <c r="Z379" s="405" t="s">
        <v>829</v>
      </c>
      <c r="AA379" s="405" t="s">
        <v>829</v>
      </c>
    </row>
    <row r="380" spans="1:27" ht="25.5" x14ac:dyDescent="0.25">
      <c r="A380" s="75" t="s">
        <v>392</v>
      </c>
      <c r="B380" s="116" t="s">
        <v>860</v>
      </c>
      <c r="C380" s="68">
        <v>2019</v>
      </c>
      <c r="D380" s="68" t="s">
        <v>801</v>
      </c>
      <c r="E380" s="69" t="s">
        <v>342</v>
      </c>
      <c r="F380" s="77" t="s">
        <v>342</v>
      </c>
      <c r="G380" s="163" t="s">
        <v>393</v>
      </c>
      <c r="H380" s="19">
        <v>279.75200000000001</v>
      </c>
      <c r="I380" s="19">
        <v>0</v>
      </c>
      <c r="J380" s="1428">
        <v>279.75200000000001</v>
      </c>
      <c r="K380" s="648">
        <v>279.75200000000001</v>
      </c>
      <c r="L380" s="335">
        <f>279.752-279.752</f>
        <v>0</v>
      </c>
      <c r="M380" s="37">
        <v>0</v>
      </c>
      <c r="N380" s="255">
        <v>0</v>
      </c>
      <c r="O380" s="20">
        <v>0</v>
      </c>
      <c r="P380" s="1851">
        <f>279.752-279.752</f>
        <v>0</v>
      </c>
      <c r="Q380" s="1852">
        <v>0</v>
      </c>
      <c r="R380" s="1719">
        <f t="shared" si="16"/>
        <v>0</v>
      </c>
      <c r="S380" s="21">
        <v>0</v>
      </c>
      <c r="T380" s="21">
        <v>0</v>
      </c>
      <c r="U380" s="256">
        <v>0</v>
      </c>
      <c r="V380" s="256">
        <v>0</v>
      </c>
      <c r="W380" s="129" t="s">
        <v>776</v>
      </c>
      <c r="X380" s="115" t="s">
        <v>866</v>
      </c>
      <c r="Y380" s="257" t="s">
        <v>305</v>
      </c>
      <c r="Z380" s="405" t="s">
        <v>829</v>
      </c>
      <c r="AA380" s="405" t="s">
        <v>829</v>
      </c>
    </row>
    <row r="381" spans="1:27" ht="30" x14ac:dyDescent="0.25">
      <c r="A381" s="763" t="s">
        <v>394</v>
      </c>
      <c r="B381" s="850" t="s">
        <v>861</v>
      </c>
      <c r="C381" s="553">
        <v>2019</v>
      </c>
      <c r="D381" s="553" t="s">
        <v>801</v>
      </c>
      <c r="E381" s="851" t="s">
        <v>317</v>
      </c>
      <c r="F381" s="802" t="s">
        <v>317</v>
      </c>
      <c r="G381" s="1139" t="s">
        <v>395</v>
      </c>
      <c r="H381" s="767">
        <v>350</v>
      </c>
      <c r="I381" s="767">
        <v>0</v>
      </c>
      <c r="J381" s="767">
        <v>350</v>
      </c>
      <c r="K381" s="862">
        <v>295.94580000000002</v>
      </c>
      <c r="L381" s="1524">
        <v>54.05419999999998</v>
      </c>
      <c r="M381" s="756">
        <v>0</v>
      </c>
      <c r="N381" s="841">
        <v>0</v>
      </c>
      <c r="O381" s="857">
        <v>0</v>
      </c>
      <c r="P381" s="1847">
        <v>54.05419999999998</v>
      </c>
      <c r="Q381" s="1848">
        <v>0</v>
      </c>
      <c r="R381" s="1466">
        <f t="shared" si="16"/>
        <v>54.05419999999998</v>
      </c>
      <c r="S381" s="855">
        <v>0</v>
      </c>
      <c r="T381" s="855">
        <v>0</v>
      </c>
      <c r="U381" s="1169">
        <v>0</v>
      </c>
      <c r="V381" s="1169">
        <v>0</v>
      </c>
      <c r="W381" s="1170" t="s">
        <v>1767</v>
      </c>
      <c r="X381" s="435" t="s">
        <v>46</v>
      </c>
      <c r="Y381" s="775" t="s">
        <v>883</v>
      </c>
      <c r="Z381" s="1175" t="s">
        <v>829</v>
      </c>
      <c r="AA381" s="1175" t="s">
        <v>829</v>
      </c>
    </row>
    <row r="382" spans="1:27" ht="30" x14ac:dyDescent="0.25">
      <c r="A382" s="64" t="s">
        <v>396</v>
      </c>
      <c r="B382" s="87" t="s">
        <v>862</v>
      </c>
      <c r="C382" s="5">
        <v>2019</v>
      </c>
      <c r="D382" s="5" t="s">
        <v>801</v>
      </c>
      <c r="E382" s="65" t="s">
        <v>397</v>
      </c>
      <c r="F382" s="66" t="s">
        <v>397</v>
      </c>
      <c r="G382" s="158" t="s">
        <v>398</v>
      </c>
      <c r="H382" s="14">
        <v>9000</v>
      </c>
      <c r="I382" s="14">
        <v>0</v>
      </c>
      <c r="J382" s="677">
        <v>0</v>
      </c>
      <c r="K382" s="246">
        <v>0</v>
      </c>
      <c r="L382" s="1525">
        <v>0</v>
      </c>
      <c r="M382" s="27">
        <v>2000</v>
      </c>
      <c r="N382" s="247">
        <v>2000</v>
      </c>
      <c r="O382" s="15">
        <v>0</v>
      </c>
      <c r="P382" s="1853">
        <v>4000</v>
      </c>
      <c r="Q382" s="1854">
        <v>0</v>
      </c>
      <c r="R382" s="1715">
        <f t="shared" si="16"/>
        <v>4000</v>
      </c>
      <c r="S382" s="16">
        <v>0</v>
      </c>
      <c r="T382" s="16">
        <v>0</v>
      </c>
      <c r="U382" s="42">
        <v>5000</v>
      </c>
      <c r="V382" s="42">
        <v>0</v>
      </c>
      <c r="W382" s="5" t="s">
        <v>776</v>
      </c>
      <c r="X382" s="53" t="s">
        <v>20</v>
      </c>
      <c r="Y382" s="232" t="s">
        <v>925</v>
      </c>
      <c r="Z382" s="404" t="s">
        <v>828</v>
      </c>
      <c r="AA382" s="404" t="s">
        <v>828</v>
      </c>
    </row>
    <row r="383" spans="1:27" s="464" customFormat="1" ht="30.75" thickBot="1" x14ac:dyDescent="0.3">
      <c r="A383" s="201" t="s">
        <v>768</v>
      </c>
      <c r="B383" s="483" t="s">
        <v>863</v>
      </c>
      <c r="C383" s="191">
        <v>2019</v>
      </c>
      <c r="D383" s="191" t="s">
        <v>801</v>
      </c>
      <c r="E383" s="377" t="s">
        <v>330</v>
      </c>
      <c r="F383" s="202" t="s">
        <v>842</v>
      </c>
      <c r="G383" s="543" t="s">
        <v>769</v>
      </c>
      <c r="H383" s="204">
        <v>266.19486000000001</v>
      </c>
      <c r="I383" s="204">
        <v>0</v>
      </c>
      <c r="J383" s="1445">
        <v>266.19486000000001</v>
      </c>
      <c r="K383" s="649">
        <v>266.19486000000001</v>
      </c>
      <c r="L383" s="396">
        <v>0</v>
      </c>
      <c r="M383" s="397">
        <v>0</v>
      </c>
      <c r="N383" s="379">
        <v>0</v>
      </c>
      <c r="O383" s="206">
        <v>0</v>
      </c>
      <c r="P383" s="1859">
        <v>0</v>
      </c>
      <c r="Q383" s="1860">
        <v>0</v>
      </c>
      <c r="R383" s="1720">
        <f t="shared" si="16"/>
        <v>0</v>
      </c>
      <c r="S383" s="205">
        <v>0</v>
      </c>
      <c r="T383" s="205">
        <v>0</v>
      </c>
      <c r="U383" s="485">
        <v>0</v>
      </c>
      <c r="V383" s="485">
        <v>0</v>
      </c>
      <c r="W383" s="191" t="s">
        <v>776</v>
      </c>
      <c r="X383" s="115" t="s">
        <v>866</v>
      </c>
      <c r="Y383" s="380" t="s">
        <v>322</v>
      </c>
      <c r="Z383" s="486" t="s">
        <v>829</v>
      </c>
      <c r="AA383" s="486" t="s">
        <v>829</v>
      </c>
    </row>
    <row r="384" spans="1:27" ht="30.75" thickBot="1" x14ac:dyDescent="0.3">
      <c r="A384" s="1160" t="s">
        <v>864</v>
      </c>
      <c r="B384" s="1176" t="s">
        <v>973</v>
      </c>
      <c r="C384" s="1161">
        <v>2019</v>
      </c>
      <c r="D384" s="1161" t="s">
        <v>922</v>
      </c>
      <c r="E384" s="1177" t="s">
        <v>353</v>
      </c>
      <c r="F384" s="1178" t="s">
        <v>353</v>
      </c>
      <c r="G384" s="1179" t="s">
        <v>865</v>
      </c>
      <c r="H384" s="1165">
        <v>870.2</v>
      </c>
      <c r="I384" s="1165">
        <v>0</v>
      </c>
      <c r="J384" s="1165">
        <v>870.2</v>
      </c>
      <c r="K384" s="1500">
        <v>834.89878999999996</v>
      </c>
      <c r="L384" s="1565">
        <v>35.301210000000083</v>
      </c>
      <c r="M384" s="1180">
        <v>0</v>
      </c>
      <c r="N384" s="1181">
        <v>0</v>
      </c>
      <c r="O384" s="1566">
        <v>0</v>
      </c>
      <c r="P384" s="1861">
        <v>35.301209999999998</v>
      </c>
      <c r="Q384" s="1862">
        <v>0</v>
      </c>
      <c r="R384" s="1738">
        <f t="shared" si="16"/>
        <v>35.301209999999998</v>
      </c>
      <c r="S384" s="1163">
        <v>0</v>
      </c>
      <c r="T384" s="1163">
        <v>0</v>
      </c>
      <c r="U384" s="1182">
        <v>0</v>
      </c>
      <c r="V384" s="1182">
        <v>0</v>
      </c>
      <c r="W384" s="1161" t="s">
        <v>1768</v>
      </c>
      <c r="X384" s="1183" t="s">
        <v>46</v>
      </c>
      <c r="Y384" s="1184" t="s">
        <v>854</v>
      </c>
      <c r="Z384" s="1185" t="s">
        <v>829</v>
      </c>
      <c r="AA384" s="1185" t="s">
        <v>829</v>
      </c>
    </row>
    <row r="385" spans="1:27" ht="30.75" thickBot="1" x14ac:dyDescent="0.3">
      <c r="A385" s="1186" t="s">
        <v>974</v>
      </c>
      <c r="B385" s="1187" t="s">
        <v>1385</v>
      </c>
      <c r="C385" s="1097">
        <v>2019</v>
      </c>
      <c r="D385" s="1097" t="s">
        <v>1150</v>
      </c>
      <c r="E385" s="1188" t="s">
        <v>303</v>
      </c>
      <c r="F385" s="1189" t="s">
        <v>303</v>
      </c>
      <c r="G385" s="1190" t="s">
        <v>975</v>
      </c>
      <c r="H385" s="1162">
        <v>1936</v>
      </c>
      <c r="I385" s="1162">
        <v>0</v>
      </c>
      <c r="J385" s="1165">
        <v>70</v>
      </c>
      <c r="K385" s="1102">
        <v>67.92</v>
      </c>
      <c r="L385" s="1567">
        <v>0</v>
      </c>
      <c r="M385" s="1191">
        <v>1868.08</v>
      </c>
      <c r="N385" s="1192">
        <v>0</v>
      </c>
      <c r="O385" s="1568">
        <v>0</v>
      </c>
      <c r="P385" s="1863">
        <f>1936-67.92</f>
        <v>1868.08</v>
      </c>
      <c r="Q385" s="1864">
        <v>0</v>
      </c>
      <c r="R385" s="1738">
        <f t="shared" si="16"/>
        <v>1868.08</v>
      </c>
      <c r="S385" s="1107">
        <v>0</v>
      </c>
      <c r="T385" s="1107">
        <v>0</v>
      </c>
      <c r="U385" s="1193">
        <v>0</v>
      </c>
      <c r="V385" s="1193">
        <v>0</v>
      </c>
      <c r="W385" s="1161" t="s">
        <v>1915</v>
      </c>
      <c r="X385" s="1194" t="s">
        <v>20</v>
      </c>
      <c r="Y385" s="1195" t="s">
        <v>883</v>
      </c>
      <c r="Z385" s="1196" t="s">
        <v>828</v>
      </c>
      <c r="AA385" s="1196" t="s">
        <v>828</v>
      </c>
    </row>
    <row r="386" spans="1:27" ht="25.5" x14ac:dyDescent="0.25">
      <c r="A386" s="858" t="s">
        <v>1156</v>
      </c>
      <c r="B386" s="859" t="s">
        <v>1386</v>
      </c>
      <c r="C386" s="551">
        <v>2019</v>
      </c>
      <c r="D386" s="551" t="s">
        <v>1963</v>
      </c>
      <c r="E386" s="860" t="s">
        <v>12</v>
      </c>
      <c r="F386" s="913" t="s">
        <v>12</v>
      </c>
      <c r="G386" s="1172" t="s">
        <v>1157</v>
      </c>
      <c r="H386" s="751">
        <v>700</v>
      </c>
      <c r="I386" s="751">
        <v>0</v>
      </c>
      <c r="J386" s="751">
        <v>700</v>
      </c>
      <c r="K386" s="862">
        <v>0</v>
      </c>
      <c r="L386" s="1533">
        <v>0</v>
      </c>
      <c r="M386" s="885">
        <v>700</v>
      </c>
      <c r="N386" s="863">
        <v>0</v>
      </c>
      <c r="O386" s="864">
        <v>0</v>
      </c>
      <c r="P386" s="1865">
        <v>700</v>
      </c>
      <c r="Q386" s="1866">
        <v>0</v>
      </c>
      <c r="R386" s="1466">
        <f t="shared" si="16"/>
        <v>700</v>
      </c>
      <c r="S386" s="856">
        <v>0</v>
      </c>
      <c r="T386" s="856">
        <v>0</v>
      </c>
      <c r="U386" s="1197">
        <v>0</v>
      </c>
      <c r="V386" s="1197">
        <v>0</v>
      </c>
      <c r="W386" s="760" t="s">
        <v>1769</v>
      </c>
      <c r="X386" s="840" t="s">
        <v>20</v>
      </c>
      <c r="Y386" s="762" t="s">
        <v>854</v>
      </c>
      <c r="Z386" s="1198" t="s">
        <v>828</v>
      </c>
      <c r="AA386" s="1199" t="s">
        <v>828</v>
      </c>
    </row>
    <row r="387" spans="1:27" ht="30" x14ac:dyDescent="0.25">
      <c r="A387" s="1249" t="s">
        <v>1158</v>
      </c>
      <c r="B387" s="1268" t="s">
        <v>1387</v>
      </c>
      <c r="C387" s="714">
        <v>2019</v>
      </c>
      <c r="D387" s="714" t="s">
        <v>1963</v>
      </c>
      <c r="E387" s="1252" t="s">
        <v>339</v>
      </c>
      <c r="F387" s="1251" t="s">
        <v>339</v>
      </c>
      <c r="G387" s="1253" t="s">
        <v>1159</v>
      </c>
      <c r="H387" s="745">
        <v>2380.433</v>
      </c>
      <c r="I387" s="745">
        <v>0</v>
      </c>
      <c r="J387" s="1439">
        <v>2400</v>
      </c>
      <c r="K387" s="1174">
        <v>2380.433</v>
      </c>
      <c r="L387" s="1564">
        <v>0</v>
      </c>
      <c r="M387" s="1173">
        <v>0</v>
      </c>
      <c r="N387" s="1255">
        <v>0</v>
      </c>
      <c r="O387" s="1254">
        <v>0</v>
      </c>
      <c r="P387" s="1845">
        <f>2400-2380.433</f>
        <v>19.567000000000007</v>
      </c>
      <c r="Q387" s="1846">
        <f>-1*P387</f>
        <v>-19.567000000000007</v>
      </c>
      <c r="R387" s="1721">
        <f t="shared" si="16"/>
        <v>0</v>
      </c>
      <c r="S387" s="867">
        <v>0</v>
      </c>
      <c r="T387" s="867">
        <v>0</v>
      </c>
      <c r="U387" s="1270">
        <v>0</v>
      </c>
      <c r="V387" s="1270">
        <v>0</v>
      </c>
      <c r="W387" s="461" t="s">
        <v>1916</v>
      </c>
      <c r="X387" s="355" t="s">
        <v>866</v>
      </c>
      <c r="Y387" s="799" t="s">
        <v>305</v>
      </c>
      <c r="Z387" s="1272" t="s">
        <v>829</v>
      </c>
      <c r="AA387" s="1272" t="s">
        <v>829</v>
      </c>
    </row>
    <row r="388" spans="1:27" ht="30" x14ac:dyDescent="0.25">
      <c r="A388" s="858" t="s">
        <v>1160</v>
      </c>
      <c r="B388" s="859" t="s">
        <v>1388</v>
      </c>
      <c r="C388" s="551">
        <v>2019</v>
      </c>
      <c r="D388" s="551" t="s">
        <v>1963</v>
      </c>
      <c r="E388" s="860" t="s">
        <v>1161</v>
      </c>
      <c r="F388" s="913" t="s">
        <v>1161</v>
      </c>
      <c r="G388" s="1172" t="s">
        <v>1162</v>
      </c>
      <c r="H388" s="751">
        <v>266</v>
      </c>
      <c r="I388" s="751">
        <v>0</v>
      </c>
      <c r="J388" s="767">
        <v>266</v>
      </c>
      <c r="K388" s="862">
        <v>98.977999999999994</v>
      </c>
      <c r="L388" s="1533">
        <v>167.02199999999999</v>
      </c>
      <c r="M388" s="885">
        <v>0</v>
      </c>
      <c r="N388" s="863">
        <v>0</v>
      </c>
      <c r="O388" s="864">
        <v>0</v>
      </c>
      <c r="P388" s="1865">
        <f>266-98.978</f>
        <v>167.02199999999999</v>
      </c>
      <c r="Q388" s="1866">
        <v>0</v>
      </c>
      <c r="R388" s="1466">
        <f t="shared" si="16"/>
        <v>167.02199999999999</v>
      </c>
      <c r="S388" s="856">
        <v>0</v>
      </c>
      <c r="T388" s="856">
        <v>0</v>
      </c>
      <c r="U388" s="1197">
        <v>0</v>
      </c>
      <c r="V388" s="1197">
        <v>0</v>
      </c>
      <c r="W388" s="551" t="s">
        <v>1770</v>
      </c>
      <c r="X388" s="840" t="s">
        <v>46</v>
      </c>
      <c r="Y388" s="865" t="s">
        <v>977</v>
      </c>
      <c r="Z388" s="1199" t="s">
        <v>829</v>
      </c>
      <c r="AA388" s="1171" t="s">
        <v>829</v>
      </c>
    </row>
    <row r="389" spans="1:27" s="467" customFormat="1" ht="25.5" x14ac:dyDescent="0.25">
      <c r="A389" s="185" t="s">
        <v>1163</v>
      </c>
      <c r="B389" s="118" t="s">
        <v>1389</v>
      </c>
      <c r="C389" s="76">
        <v>2019</v>
      </c>
      <c r="D389" s="76" t="s">
        <v>1963</v>
      </c>
      <c r="E389" s="81" t="s">
        <v>317</v>
      </c>
      <c r="F389" s="1200" t="s">
        <v>317</v>
      </c>
      <c r="G389" s="456" t="s">
        <v>1164</v>
      </c>
      <c r="H389" s="78">
        <v>60.5</v>
      </c>
      <c r="I389" s="78">
        <v>0</v>
      </c>
      <c r="J389" s="1428">
        <v>60.5</v>
      </c>
      <c r="K389" s="648">
        <v>60.5</v>
      </c>
      <c r="L389" s="1569">
        <v>0</v>
      </c>
      <c r="M389" s="79">
        <v>0</v>
      </c>
      <c r="N389" s="740">
        <v>0</v>
      </c>
      <c r="O389" s="39">
        <v>0</v>
      </c>
      <c r="P389" s="1867">
        <f>60.5-60.5</f>
        <v>0</v>
      </c>
      <c r="Q389" s="1868">
        <v>0</v>
      </c>
      <c r="R389" s="1719">
        <f t="shared" si="16"/>
        <v>0</v>
      </c>
      <c r="S389" s="38">
        <v>0</v>
      </c>
      <c r="T389" s="38">
        <v>0</v>
      </c>
      <c r="U389" s="1201">
        <v>0</v>
      </c>
      <c r="V389" s="1201">
        <v>0</v>
      </c>
      <c r="W389" s="76" t="s">
        <v>776</v>
      </c>
      <c r="X389" s="120" t="s">
        <v>866</v>
      </c>
      <c r="Y389" s="1286" t="s">
        <v>305</v>
      </c>
      <c r="Z389" s="1202" t="s">
        <v>829</v>
      </c>
      <c r="AA389" s="1202" t="s">
        <v>829</v>
      </c>
    </row>
    <row r="390" spans="1:27" s="454" customFormat="1" ht="30" x14ac:dyDescent="0.25">
      <c r="A390" s="1249" t="s">
        <v>1165</v>
      </c>
      <c r="B390" s="1268" t="s">
        <v>1390</v>
      </c>
      <c r="C390" s="714">
        <v>2019</v>
      </c>
      <c r="D390" s="714" t="s">
        <v>1963</v>
      </c>
      <c r="E390" s="1252" t="s">
        <v>353</v>
      </c>
      <c r="F390" s="1251" t="s">
        <v>353</v>
      </c>
      <c r="G390" s="1253" t="s">
        <v>1166</v>
      </c>
      <c r="H390" s="745">
        <v>213.53</v>
      </c>
      <c r="I390" s="745">
        <v>0</v>
      </c>
      <c r="J390" s="1439">
        <v>363</v>
      </c>
      <c r="K390" s="1174">
        <v>213.53</v>
      </c>
      <c r="L390" s="1564">
        <v>0</v>
      </c>
      <c r="M390" s="1173">
        <v>0</v>
      </c>
      <c r="N390" s="1255">
        <v>0</v>
      </c>
      <c r="O390" s="1254">
        <v>0</v>
      </c>
      <c r="P390" s="1845">
        <f>363-213.53</f>
        <v>149.47</v>
      </c>
      <c r="Q390" s="1846">
        <v>-149.47</v>
      </c>
      <c r="R390" s="1721">
        <f t="shared" si="16"/>
        <v>0</v>
      </c>
      <c r="S390" s="867">
        <v>0</v>
      </c>
      <c r="T390" s="867">
        <v>0</v>
      </c>
      <c r="U390" s="1270">
        <v>0</v>
      </c>
      <c r="V390" s="1270">
        <v>0</v>
      </c>
      <c r="W390" s="714" t="s">
        <v>1917</v>
      </c>
      <c r="X390" s="355" t="s">
        <v>866</v>
      </c>
      <c r="Y390" s="799" t="s">
        <v>305</v>
      </c>
      <c r="Z390" s="1272" t="s">
        <v>829</v>
      </c>
      <c r="AA390" s="1272" t="s">
        <v>829</v>
      </c>
    </row>
    <row r="391" spans="1:27" ht="25.5" x14ac:dyDescent="0.25">
      <c r="A391" s="64" t="s">
        <v>1167</v>
      </c>
      <c r="B391" s="87" t="s">
        <v>1391</v>
      </c>
      <c r="C391" s="5">
        <v>2019</v>
      </c>
      <c r="D391" s="4" t="s">
        <v>1963</v>
      </c>
      <c r="E391" s="65" t="s">
        <v>342</v>
      </c>
      <c r="F391" s="66" t="s">
        <v>342</v>
      </c>
      <c r="G391" s="158" t="s">
        <v>1168</v>
      </c>
      <c r="H391" s="14">
        <v>4800</v>
      </c>
      <c r="I391" s="14">
        <v>0</v>
      </c>
      <c r="J391" s="677">
        <v>0</v>
      </c>
      <c r="K391" s="246">
        <v>0</v>
      </c>
      <c r="L391" s="1525">
        <v>400</v>
      </c>
      <c r="M391" s="27">
        <v>0</v>
      </c>
      <c r="N391" s="247">
        <v>0</v>
      </c>
      <c r="O391" s="15">
        <v>0</v>
      </c>
      <c r="P391" s="1853">
        <v>400</v>
      </c>
      <c r="Q391" s="1854">
        <v>0</v>
      </c>
      <c r="R391" s="1715">
        <f t="shared" si="16"/>
        <v>400</v>
      </c>
      <c r="S391" s="16">
        <v>0</v>
      </c>
      <c r="T391" s="16">
        <v>0</v>
      </c>
      <c r="U391" s="42">
        <v>4400</v>
      </c>
      <c r="V391" s="42">
        <v>0</v>
      </c>
      <c r="W391" s="5" t="s">
        <v>776</v>
      </c>
      <c r="X391" s="53" t="s">
        <v>20</v>
      </c>
      <c r="Y391" s="232" t="s">
        <v>977</v>
      </c>
      <c r="Z391" s="481" t="s">
        <v>828</v>
      </c>
      <c r="AA391" s="481" t="s">
        <v>828</v>
      </c>
    </row>
    <row r="392" spans="1:27" ht="25.5" x14ac:dyDescent="0.25">
      <c r="A392" s="136" t="s">
        <v>1169</v>
      </c>
      <c r="B392" s="116" t="s">
        <v>1392</v>
      </c>
      <c r="C392" s="68">
        <v>2019</v>
      </c>
      <c r="D392" s="76" t="s">
        <v>1963</v>
      </c>
      <c r="E392" s="69" t="s">
        <v>339</v>
      </c>
      <c r="F392" s="77" t="s">
        <v>339</v>
      </c>
      <c r="G392" s="163" t="s">
        <v>1170</v>
      </c>
      <c r="H392" s="19">
        <v>491.875</v>
      </c>
      <c r="I392" s="19">
        <v>0</v>
      </c>
      <c r="J392" s="1428">
        <v>491.875</v>
      </c>
      <c r="K392" s="648">
        <v>491.875</v>
      </c>
      <c r="L392" s="335">
        <v>0</v>
      </c>
      <c r="M392" s="37">
        <v>0</v>
      </c>
      <c r="N392" s="255">
        <v>0</v>
      </c>
      <c r="O392" s="20">
        <v>0</v>
      </c>
      <c r="P392" s="1851">
        <v>0</v>
      </c>
      <c r="Q392" s="1852">
        <v>0</v>
      </c>
      <c r="R392" s="1719">
        <f t="shared" si="16"/>
        <v>0</v>
      </c>
      <c r="S392" s="21">
        <v>0</v>
      </c>
      <c r="T392" s="21">
        <v>0</v>
      </c>
      <c r="U392" s="256">
        <v>0</v>
      </c>
      <c r="V392" s="256">
        <v>0</v>
      </c>
      <c r="W392" s="76" t="s">
        <v>776</v>
      </c>
      <c r="X392" s="115" t="s">
        <v>866</v>
      </c>
      <c r="Y392" s="257" t="s">
        <v>305</v>
      </c>
      <c r="Z392" s="1202" t="s">
        <v>829</v>
      </c>
      <c r="AA392" s="1202" t="s">
        <v>829</v>
      </c>
    </row>
    <row r="393" spans="1:27" ht="25.5" x14ac:dyDescent="0.25">
      <c r="A393" s="849" t="s">
        <v>1190</v>
      </c>
      <c r="B393" s="850" t="s">
        <v>1393</v>
      </c>
      <c r="C393" s="553">
        <v>2019</v>
      </c>
      <c r="D393" s="551" t="s">
        <v>1963</v>
      </c>
      <c r="E393" s="851" t="s">
        <v>339</v>
      </c>
      <c r="F393" s="802" t="s">
        <v>339</v>
      </c>
      <c r="G393" s="1139" t="s">
        <v>1191</v>
      </c>
      <c r="H393" s="767">
        <v>900</v>
      </c>
      <c r="I393" s="767">
        <v>0</v>
      </c>
      <c r="J393" s="767">
        <v>900</v>
      </c>
      <c r="K393" s="862">
        <v>0</v>
      </c>
      <c r="L393" s="1524">
        <v>900</v>
      </c>
      <c r="M393" s="756">
        <v>0</v>
      </c>
      <c r="N393" s="841">
        <v>0</v>
      </c>
      <c r="O393" s="857">
        <v>0</v>
      </c>
      <c r="P393" s="1847">
        <v>900</v>
      </c>
      <c r="Q393" s="1848">
        <v>0</v>
      </c>
      <c r="R393" s="1466">
        <f t="shared" si="16"/>
        <v>900</v>
      </c>
      <c r="S393" s="855">
        <v>0</v>
      </c>
      <c r="T393" s="855">
        <v>0</v>
      </c>
      <c r="U393" s="1169">
        <v>0</v>
      </c>
      <c r="V393" s="1169">
        <v>0</v>
      </c>
      <c r="W393" s="551" t="s">
        <v>1771</v>
      </c>
      <c r="X393" s="435" t="s">
        <v>20</v>
      </c>
      <c r="Y393" s="775" t="s">
        <v>977</v>
      </c>
      <c r="Z393" s="1199" t="s">
        <v>828</v>
      </c>
      <c r="AA393" s="1199" t="s">
        <v>828</v>
      </c>
    </row>
    <row r="394" spans="1:27" s="467" customFormat="1" ht="25.5" x14ac:dyDescent="0.25">
      <c r="A394" s="136" t="s">
        <v>1192</v>
      </c>
      <c r="B394" s="116" t="s">
        <v>1394</v>
      </c>
      <c r="C394" s="68">
        <v>2019</v>
      </c>
      <c r="D394" s="76" t="s">
        <v>1963</v>
      </c>
      <c r="E394" s="69" t="s">
        <v>308</v>
      </c>
      <c r="F394" s="77" t="s">
        <v>308</v>
      </c>
      <c r="G394" s="163" t="s">
        <v>1193</v>
      </c>
      <c r="H394" s="19">
        <v>450</v>
      </c>
      <c r="I394" s="19">
        <v>0</v>
      </c>
      <c r="J394" s="1428">
        <v>450</v>
      </c>
      <c r="K394" s="648">
        <v>450</v>
      </c>
      <c r="L394" s="335">
        <v>0</v>
      </c>
      <c r="M394" s="37">
        <v>0</v>
      </c>
      <c r="N394" s="255">
        <v>0</v>
      </c>
      <c r="O394" s="20">
        <v>0</v>
      </c>
      <c r="P394" s="1851">
        <v>0</v>
      </c>
      <c r="Q394" s="1852">
        <v>0</v>
      </c>
      <c r="R394" s="1719">
        <f t="shared" si="16"/>
        <v>0</v>
      </c>
      <c r="S394" s="21">
        <v>0</v>
      </c>
      <c r="T394" s="21">
        <v>0</v>
      </c>
      <c r="U394" s="256">
        <v>0</v>
      </c>
      <c r="V394" s="256">
        <v>0</v>
      </c>
      <c r="W394" s="68" t="s">
        <v>1772</v>
      </c>
      <c r="X394" s="115" t="s">
        <v>866</v>
      </c>
      <c r="Y394" s="257" t="s">
        <v>305</v>
      </c>
      <c r="Z394" s="1202" t="s">
        <v>829</v>
      </c>
      <c r="AA394" s="1202" t="s">
        <v>829</v>
      </c>
    </row>
    <row r="395" spans="1:27" s="467" customFormat="1" ht="25.5" x14ac:dyDescent="0.25">
      <c r="A395" s="136" t="s">
        <v>1194</v>
      </c>
      <c r="B395" s="116" t="s">
        <v>1395</v>
      </c>
      <c r="C395" s="68">
        <v>2019</v>
      </c>
      <c r="D395" s="76" t="s">
        <v>1963</v>
      </c>
      <c r="E395" s="69" t="s">
        <v>308</v>
      </c>
      <c r="F395" s="77" t="s">
        <v>308</v>
      </c>
      <c r="G395" s="163" t="s">
        <v>1195</v>
      </c>
      <c r="H395" s="19">
        <v>400</v>
      </c>
      <c r="I395" s="19">
        <v>0</v>
      </c>
      <c r="J395" s="1428">
        <v>400</v>
      </c>
      <c r="K395" s="648">
        <v>400</v>
      </c>
      <c r="L395" s="335">
        <v>0</v>
      </c>
      <c r="M395" s="37">
        <v>0</v>
      </c>
      <c r="N395" s="255">
        <v>0</v>
      </c>
      <c r="O395" s="20">
        <v>0</v>
      </c>
      <c r="P395" s="1851">
        <v>0</v>
      </c>
      <c r="Q395" s="1852">
        <v>0</v>
      </c>
      <c r="R395" s="1719">
        <f t="shared" si="16"/>
        <v>0</v>
      </c>
      <c r="S395" s="21">
        <v>0</v>
      </c>
      <c r="T395" s="21">
        <v>0</v>
      </c>
      <c r="U395" s="256">
        <v>0</v>
      </c>
      <c r="V395" s="256">
        <v>0</v>
      </c>
      <c r="W395" s="68" t="s">
        <v>1772</v>
      </c>
      <c r="X395" s="115" t="s">
        <v>866</v>
      </c>
      <c r="Y395" s="257" t="s">
        <v>305</v>
      </c>
      <c r="Z395" s="1202" t="s">
        <v>829</v>
      </c>
      <c r="AA395" s="1202" t="s">
        <v>829</v>
      </c>
    </row>
    <row r="396" spans="1:27" ht="30.75" thickBot="1" x14ac:dyDescent="0.3">
      <c r="A396" s="869" t="s">
        <v>1196</v>
      </c>
      <c r="B396" s="870" t="s">
        <v>1396</v>
      </c>
      <c r="C396" s="871">
        <v>2019</v>
      </c>
      <c r="D396" s="1097" t="s">
        <v>1963</v>
      </c>
      <c r="E396" s="872" t="s">
        <v>360</v>
      </c>
      <c r="F396" s="1204" t="s">
        <v>360</v>
      </c>
      <c r="G396" s="1205" t="s">
        <v>1197</v>
      </c>
      <c r="H396" s="874">
        <v>6100</v>
      </c>
      <c r="I396" s="874">
        <v>0</v>
      </c>
      <c r="J396" s="874">
        <v>6100</v>
      </c>
      <c r="K396" s="1209">
        <f>2999.12432+1791.68118</f>
        <v>4790.8055000000004</v>
      </c>
      <c r="L396" s="1532">
        <f>3100.87568-1791.68118</f>
        <v>1309.1945000000001</v>
      </c>
      <c r="M396" s="877">
        <v>0</v>
      </c>
      <c r="N396" s="878">
        <v>0</v>
      </c>
      <c r="O396" s="879">
        <v>0</v>
      </c>
      <c r="P396" s="1855">
        <f>3100.87568-1791.68118</f>
        <v>1309.1945000000001</v>
      </c>
      <c r="Q396" s="1856">
        <v>0</v>
      </c>
      <c r="R396" s="1717">
        <f t="shared" si="16"/>
        <v>1309.1945000000001</v>
      </c>
      <c r="S396" s="880">
        <v>0</v>
      </c>
      <c r="T396" s="880">
        <v>0</v>
      </c>
      <c r="U396" s="1206">
        <v>0</v>
      </c>
      <c r="V396" s="1206">
        <v>0</v>
      </c>
      <c r="W396" s="871" t="s">
        <v>1918</v>
      </c>
      <c r="X396" s="1207" t="s">
        <v>46</v>
      </c>
      <c r="Y396" s="882" t="s">
        <v>883</v>
      </c>
      <c r="Z396" s="1196" t="s">
        <v>829</v>
      </c>
      <c r="AA396" s="1196" t="s">
        <v>829</v>
      </c>
    </row>
    <row r="397" spans="1:27" ht="25.5" x14ac:dyDescent="0.25">
      <c r="A397" s="858" t="s">
        <v>1397</v>
      </c>
      <c r="B397" s="859" t="s">
        <v>1773</v>
      </c>
      <c r="C397" s="551">
        <v>2019</v>
      </c>
      <c r="D397" s="551" t="s">
        <v>1843</v>
      </c>
      <c r="E397" s="860" t="s">
        <v>342</v>
      </c>
      <c r="F397" s="913" t="s">
        <v>342</v>
      </c>
      <c r="G397" s="1172" t="s">
        <v>375</v>
      </c>
      <c r="H397" s="751">
        <v>1220</v>
      </c>
      <c r="I397" s="751">
        <v>0</v>
      </c>
      <c r="J397" s="751">
        <v>1220</v>
      </c>
      <c r="K397" s="862">
        <v>0</v>
      </c>
      <c r="L397" s="1533">
        <v>0</v>
      </c>
      <c r="M397" s="885">
        <v>1220</v>
      </c>
      <c r="N397" s="863">
        <v>0</v>
      </c>
      <c r="O397" s="864">
        <v>0</v>
      </c>
      <c r="P397" s="1865">
        <v>1220</v>
      </c>
      <c r="Q397" s="1866">
        <v>0</v>
      </c>
      <c r="R397" s="1466">
        <f t="shared" si="16"/>
        <v>1220</v>
      </c>
      <c r="S397" s="856">
        <v>0</v>
      </c>
      <c r="T397" s="856">
        <v>0</v>
      </c>
      <c r="U397" s="1197">
        <v>0</v>
      </c>
      <c r="V397" s="1197">
        <v>0</v>
      </c>
      <c r="W397" s="551" t="s">
        <v>1774</v>
      </c>
      <c r="X397" s="840" t="s">
        <v>46</v>
      </c>
      <c r="Y397" s="865" t="s">
        <v>977</v>
      </c>
      <c r="Z397" s="1199" t="s">
        <v>829</v>
      </c>
      <c r="AA397" s="1199" t="s">
        <v>829</v>
      </c>
    </row>
    <row r="398" spans="1:27" s="454" customFormat="1" ht="25.5" x14ac:dyDescent="0.25">
      <c r="A398" s="728" t="s">
        <v>1398</v>
      </c>
      <c r="B398" s="533" t="s">
        <v>1775</v>
      </c>
      <c r="C398" s="461">
        <v>2019</v>
      </c>
      <c r="D398" s="714" t="s">
        <v>1843</v>
      </c>
      <c r="E398" s="730" t="s">
        <v>1399</v>
      </c>
      <c r="F398" s="800" t="s">
        <v>1399</v>
      </c>
      <c r="G398" s="1241" t="s">
        <v>1400</v>
      </c>
      <c r="H398" s="462">
        <v>317.02</v>
      </c>
      <c r="I398" s="462">
        <v>0</v>
      </c>
      <c r="J398" s="1439">
        <v>363</v>
      </c>
      <c r="K398" s="1174">
        <v>317.02</v>
      </c>
      <c r="L398" s="1527">
        <v>0</v>
      </c>
      <c r="M398" s="733">
        <v>0</v>
      </c>
      <c r="N398" s="734">
        <v>0</v>
      </c>
      <c r="O398" s="735">
        <v>0</v>
      </c>
      <c r="P398" s="1845">
        <f>363-317.02</f>
        <v>45.980000000000018</v>
      </c>
      <c r="Q398" s="1846">
        <v>-45.98</v>
      </c>
      <c r="R398" s="1721">
        <f t="shared" si="16"/>
        <v>0</v>
      </c>
      <c r="S398" s="732">
        <v>0</v>
      </c>
      <c r="T398" s="732">
        <v>0</v>
      </c>
      <c r="U398" s="541">
        <v>0</v>
      </c>
      <c r="V398" s="541">
        <v>0</v>
      </c>
      <c r="W398" s="461" t="s">
        <v>1919</v>
      </c>
      <c r="X398" s="463" t="s">
        <v>866</v>
      </c>
      <c r="Y398" s="1271" t="s">
        <v>305</v>
      </c>
      <c r="Z398" s="1272" t="s">
        <v>829</v>
      </c>
      <c r="AA398" s="1272" t="s">
        <v>829</v>
      </c>
    </row>
    <row r="399" spans="1:27" ht="25.5" x14ac:dyDescent="0.25">
      <c r="A399" s="849" t="s">
        <v>1401</v>
      </c>
      <c r="B399" s="850" t="s">
        <v>1776</v>
      </c>
      <c r="C399" s="553">
        <v>2019</v>
      </c>
      <c r="D399" s="551" t="s">
        <v>1843</v>
      </c>
      <c r="E399" s="851" t="s">
        <v>353</v>
      </c>
      <c r="F399" s="802" t="s">
        <v>353</v>
      </c>
      <c r="G399" s="1139" t="s">
        <v>1402</v>
      </c>
      <c r="H399" s="767">
        <v>3000</v>
      </c>
      <c r="I399" s="767">
        <v>0</v>
      </c>
      <c r="J399" s="767">
        <v>1000</v>
      </c>
      <c r="K399" s="862">
        <v>0</v>
      </c>
      <c r="L399" s="1524">
        <v>0</v>
      </c>
      <c r="M399" s="756">
        <v>0</v>
      </c>
      <c r="N399" s="841">
        <v>3000</v>
      </c>
      <c r="O399" s="857">
        <v>0</v>
      </c>
      <c r="P399" s="1847">
        <v>3000</v>
      </c>
      <c r="Q399" s="1848">
        <v>0</v>
      </c>
      <c r="R399" s="1466">
        <f t="shared" si="16"/>
        <v>3000</v>
      </c>
      <c r="S399" s="855">
        <v>0</v>
      </c>
      <c r="T399" s="855">
        <v>0</v>
      </c>
      <c r="U399" s="1169">
        <v>0</v>
      </c>
      <c r="V399" s="1169">
        <v>0</v>
      </c>
      <c r="W399" s="551" t="s">
        <v>1777</v>
      </c>
      <c r="X399" s="435" t="s">
        <v>20</v>
      </c>
      <c r="Y399" s="865" t="s">
        <v>977</v>
      </c>
      <c r="Z399" s="1199" t="s">
        <v>828</v>
      </c>
      <c r="AA399" s="1199" t="s">
        <v>828</v>
      </c>
    </row>
    <row r="400" spans="1:27" s="467" customFormat="1" ht="30" x14ac:dyDescent="0.25">
      <c r="A400" s="136" t="s">
        <v>1448</v>
      </c>
      <c r="B400" s="116" t="s">
        <v>1778</v>
      </c>
      <c r="C400" s="68">
        <v>2019</v>
      </c>
      <c r="D400" s="76" t="s">
        <v>1843</v>
      </c>
      <c r="E400" s="69" t="s">
        <v>295</v>
      </c>
      <c r="F400" s="77" t="s">
        <v>841</v>
      </c>
      <c r="G400" s="163" t="s">
        <v>1449</v>
      </c>
      <c r="H400" s="19">
        <v>322.5376</v>
      </c>
      <c r="I400" s="19">
        <v>0</v>
      </c>
      <c r="J400" s="1428">
        <v>322.53800000000001</v>
      </c>
      <c r="K400" s="648">
        <v>322.5376</v>
      </c>
      <c r="L400" s="335">
        <v>0</v>
      </c>
      <c r="M400" s="37">
        <v>0</v>
      </c>
      <c r="N400" s="255">
        <v>0</v>
      </c>
      <c r="O400" s="20">
        <v>0</v>
      </c>
      <c r="P400" s="1851">
        <f>322.538-322.5376</f>
        <v>4.0000000001327862E-4</v>
      </c>
      <c r="Q400" s="1852">
        <f>-1*P400</f>
        <v>-4.0000000001327862E-4</v>
      </c>
      <c r="R400" s="1719">
        <f t="shared" si="16"/>
        <v>0</v>
      </c>
      <c r="S400" s="21">
        <v>0</v>
      </c>
      <c r="T400" s="21">
        <v>0</v>
      </c>
      <c r="U400" s="256">
        <v>0</v>
      </c>
      <c r="V400" s="256">
        <v>0</v>
      </c>
      <c r="W400" s="68" t="s">
        <v>776</v>
      </c>
      <c r="X400" s="115" t="s">
        <v>866</v>
      </c>
      <c r="Y400" s="1286" t="s">
        <v>305</v>
      </c>
      <c r="Z400" s="1202" t="s">
        <v>829</v>
      </c>
      <c r="AA400" s="1202" t="s">
        <v>829</v>
      </c>
    </row>
    <row r="401" spans="1:27" ht="18" customHeight="1" thickBot="1" x14ac:dyDescent="0.3">
      <c r="A401" s="175"/>
      <c r="B401" s="218"/>
      <c r="C401" s="56"/>
      <c r="D401" s="56"/>
      <c r="E401" s="496"/>
      <c r="F401" s="91"/>
      <c r="G401" s="501"/>
      <c r="H401" s="178"/>
      <c r="I401" s="178"/>
      <c r="J401" s="678"/>
      <c r="K401" s="250"/>
      <c r="L401" s="1570"/>
      <c r="M401" s="216"/>
      <c r="N401" s="388"/>
      <c r="O401" s="8"/>
      <c r="P401" s="1869"/>
      <c r="Q401" s="1860"/>
      <c r="R401" s="1720"/>
      <c r="S401" s="7"/>
      <c r="T401" s="7"/>
      <c r="U401" s="219"/>
      <c r="V401" s="219"/>
      <c r="W401" s="56"/>
      <c r="X401" s="192"/>
      <c r="Y401" s="1516"/>
      <c r="Z401" s="406"/>
      <c r="AA401" s="406"/>
    </row>
    <row r="402" spans="1:27" ht="35.25" customHeight="1" thickBot="1" x14ac:dyDescent="0.3">
      <c r="A402" s="1496" t="s">
        <v>776</v>
      </c>
      <c r="B402" s="1497" t="s">
        <v>776</v>
      </c>
      <c r="C402" s="151" t="s">
        <v>776</v>
      </c>
      <c r="D402" s="112" t="s">
        <v>776</v>
      </c>
      <c r="E402" s="497" t="s">
        <v>776</v>
      </c>
      <c r="F402" s="151" t="s">
        <v>776</v>
      </c>
      <c r="G402" s="499" t="s">
        <v>903</v>
      </c>
      <c r="H402" s="96">
        <f>SUM(H350:H401)</f>
        <v>851802.99975000008</v>
      </c>
      <c r="I402" s="96">
        <f>SUM(I350:I401)</f>
        <v>30349.831420000002</v>
      </c>
      <c r="J402" s="96">
        <f>SUM(J350:J401)</f>
        <v>51037.208840000007</v>
      </c>
      <c r="K402" s="96">
        <f t="shared" ref="K402:V402" si="17">SUM(K350:K401)</f>
        <v>28945.409050000002</v>
      </c>
      <c r="L402" s="96">
        <f t="shared" si="17"/>
        <v>27113.553200000002</v>
      </c>
      <c r="M402" s="96">
        <f t="shared" si="17"/>
        <v>43789.626669999998</v>
      </c>
      <c r="N402" s="364">
        <f t="shared" si="17"/>
        <v>35035.051800000001</v>
      </c>
      <c r="O402" s="96">
        <f t="shared" si="17"/>
        <v>10260.46544</v>
      </c>
      <c r="P402" s="1406">
        <f t="shared" si="17"/>
        <v>115930.15023000001</v>
      </c>
      <c r="Q402" s="364">
        <f t="shared" si="17"/>
        <v>268.5468800000001</v>
      </c>
      <c r="R402" s="364">
        <f t="shared" si="17"/>
        <v>116198.69711000002</v>
      </c>
      <c r="S402" s="364">
        <f>SUM(S350:S401)</f>
        <v>0</v>
      </c>
      <c r="T402" s="364">
        <f>SUM(T350:T401)</f>
        <v>0</v>
      </c>
      <c r="U402" s="364">
        <f t="shared" si="17"/>
        <v>149131.91516999999</v>
      </c>
      <c r="V402" s="96">
        <f t="shared" si="17"/>
        <v>527177.147</v>
      </c>
      <c r="W402" s="128" t="s">
        <v>1920</v>
      </c>
      <c r="X402" s="103" t="s">
        <v>776</v>
      </c>
      <c r="Y402" s="321" t="s">
        <v>776</v>
      </c>
      <c r="Z402" s="103" t="s">
        <v>776</v>
      </c>
      <c r="AA402" s="103" t="s">
        <v>776</v>
      </c>
    </row>
    <row r="403" spans="1:27" ht="45" x14ac:dyDescent="0.25">
      <c r="A403" s="61" t="s">
        <v>399</v>
      </c>
      <c r="B403" s="117" t="s">
        <v>400</v>
      </c>
      <c r="C403" s="142">
        <v>2010</v>
      </c>
      <c r="D403" s="9" t="s">
        <v>1002</v>
      </c>
      <c r="E403" s="90" t="s">
        <v>401</v>
      </c>
      <c r="F403" s="90" t="s">
        <v>401</v>
      </c>
      <c r="G403" s="546" t="s">
        <v>402</v>
      </c>
      <c r="H403" s="1">
        <v>531260.93999999994</v>
      </c>
      <c r="I403" s="1">
        <v>349663.80933999998</v>
      </c>
      <c r="J403" s="1405">
        <v>43950.060659999996</v>
      </c>
      <c r="K403" s="246">
        <v>43950.06</v>
      </c>
      <c r="L403" s="1525">
        <v>10987.514999999999</v>
      </c>
      <c r="M403" s="247">
        <v>10987.515659999999</v>
      </c>
      <c r="N403" s="247">
        <v>10987.514999999999</v>
      </c>
      <c r="O403" s="1530">
        <f>10987.51566-7325.49066</f>
        <v>3662.0249999999987</v>
      </c>
      <c r="P403" s="1764">
        <f>43949.58066-7325.01</f>
        <v>36624.570659999998</v>
      </c>
      <c r="Q403" s="652">
        <v>0</v>
      </c>
      <c r="R403" s="1715">
        <f t="shared" ref="R403:R417" si="18">P403+Q403</f>
        <v>36624.570659999998</v>
      </c>
      <c r="S403" s="1210">
        <v>0</v>
      </c>
      <c r="T403" s="13">
        <v>101022.5</v>
      </c>
      <c r="U403" s="1211">
        <v>0</v>
      </c>
      <c r="V403" s="188">
        <v>0</v>
      </c>
      <c r="W403" s="254" t="s">
        <v>776</v>
      </c>
      <c r="X403" s="1266" t="s">
        <v>46</v>
      </c>
      <c r="Y403" s="235" t="s">
        <v>546</v>
      </c>
      <c r="Z403" s="104" t="s">
        <v>829</v>
      </c>
      <c r="AA403" s="107" t="s">
        <v>829</v>
      </c>
    </row>
    <row r="404" spans="1:27" ht="123" customHeight="1" x14ac:dyDescent="0.25">
      <c r="A404" s="849" t="s">
        <v>403</v>
      </c>
      <c r="B404" s="764" t="s">
        <v>404</v>
      </c>
      <c r="C404" s="919">
        <v>2012</v>
      </c>
      <c r="D404" s="553" t="s">
        <v>1001</v>
      </c>
      <c r="E404" s="765" t="s">
        <v>405</v>
      </c>
      <c r="F404" s="765" t="s">
        <v>405</v>
      </c>
      <c r="G404" s="1237" t="s">
        <v>406</v>
      </c>
      <c r="H404" s="767">
        <v>257624</v>
      </c>
      <c r="I404" s="1245">
        <v>5664.01</v>
      </c>
      <c r="J404" s="767">
        <v>3500</v>
      </c>
      <c r="K404" s="862">
        <v>2140.0495500000002</v>
      </c>
      <c r="L404" s="1524">
        <v>1359.95045</v>
      </c>
      <c r="M404" s="756">
        <v>0</v>
      </c>
      <c r="N404" s="841">
        <v>0</v>
      </c>
      <c r="O404" s="857">
        <v>0</v>
      </c>
      <c r="P404" s="770">
        <f>3500-2140.04955</f>
        <v>1359.9504499999998</v>
      </c>
      <c r="Q404" s="1612">
        <v>0</v>
      </c>
      <c r="R404" s="1466">
        <f t="shared" si="18"/>
        <v>1359.9504499999998</v>
      </c>
      <c r="S404" s="855">
        <v>0</v>
      </c>
      <c r="T404" s="855">
        <v>2000</v>
      </c>
      <c r="U404" s="855">
        <v>217459.99</v>
      </c>
      <c r="V404" s="855">
        <v>29000</v>
      </c>
      <c r="W404" s="1260" t="s">
        <v>1921</v>
      </c>
      <c r="X404" s="553" t="s">
        <v>1462</v>
      </c>
      <c r="Y404" s="775" t="s">
        <v>1793</v>
      </c>
      <c r="Z404" s="774" t="s">
        <v>1461</v>
      </c>
      <c r="AA404" s="774" t="s">
        <v>1794</v>
      </c>
    </row>
    <row r="405" spans="1:27" ht="30" x14ac:dyDescent="0.25">
      <c r="A405" s="64" t="s">
        <v>407</v>
      </c>
      <c r="B405" s="94" t="s">
        <v>408</v>
      </c>
      <c r="C405" s="143">
        <v>2015</v>
      </c>
      <c r="D405" s="84" t="s">
        <v>409</v>
      </c>
      <c r="E405" s="511" t="s">
        <v>410</v>
      </c>
      <c r="F405" s="511" t="s">
        <v>410</v>
      </c>
      <c r="G405" s="547" t="s">
        <v>411</v>
      </c>
      <c r="H405" s="22">
        <v>86727</v>
      </c>
      <c r="I405" s="22">
        <v>0</v>
      </c>
      <c r="J405" s="677">
        <v>0</v>
      </c>
      <c r="K405" s="246">
        <v>0</v>
      </c>
      <c r="L405" s="1571">
        <v>0</v>
      </c>
      <c r="M405" s="26">
        <v>0</v>
      </c>
      <c r="N405" s="654">
        <v>0</v>
      </c>
      <c r="O405" s="23">
        <v>0</v>
      </c>
      <c r="P405" s="1764">
        <v>0</v>
      </c>
      <c r="Q405" s="1870">
        <v>0</v>
      </c>
      <c r="R405" s="1715">
        <f t="shared" si="18"/>
        <v>0</v>
      </c>
      <c r="S405" s="16">
        <v>0</v>
      </c>
      <c r="T405" s="16">
        <v>15079.75</v>
      </c>
      <c r="U405" s="26">
        <v>0</v>
      </c>
      <c r="V405" s="16">
        <v>71647.25</v>
      </c>
      <c r="W405" s="254" t="s">
        <v>1464</v>
      </c>
      <c r="X405" s="5" t="s">
        <v>46</v>
      </c>
      <c r="Y405" s="232" t="s">
        <v>748</v>
      </c>
      <c r="Z405" s="104" t="s">
        <v>829</v>
      </c>
      <c r="AA405" s="104" t="s">
        <v>829</v>
      </c>
    </row>
    <row r="406" spans="1:27" s="467" customFormat="1" ht="46.5" customHeight="1" x14ac:dyDescent="0.25">
      <c r="A406" s="136" t="s">
        <v>412</v>
      </c>
      <c r="B406" s="116" t="s">
        <v>413</v>
      </c>
      <c r="C406" s="141">
        <v>2015</v>
      </c>
      <c r="D406" s="68" t="s">
        <v>414</v>
      </c>
      <c r="E406" s="80" t="s">
        <v>410</v>
      </c>
      <c r="F406" s="80" t="s">
        <v>410</v>
      </c>
      <c r="G406" s="189" t="s">
        <v>893</v>
      </c>
      <c r="H406" s="190">
        <v>3635</v>
      </c>
      <c r="I406" s="190">
        <v>635</v>
      </c>
      <c r="J406" s="1428">
        <v>3000</v>
      </c>
      <c r="K406" s="648">
        <v>3000</v>
      </c>
      <c r="L406" s="335">
        <v>0</v>
      </c>
      <c r="M406" s="37">
        <v>0</v>
      </c>
      <c r="N406" s="255">
        <v>0</v>
      </c>
      <c r="O406" s="20">
        <v>0</v>
      </c>
      <c r="P406" s="1766">
        <v>0</v>
      </c>
      <c r="Q406" s="587">
        <v>0</v>
      </c>
      <c r="R406" s="1719">
        <v>0</v>
      </c>
      <c r="S406" s="21">
        <v>0</v>
      </c>
      <c r="T406" s="21">
        <v>0</v>
      </c>
      <c r="U406" s="37">
        <v>0</v>
      </c>
      <c r="V406" s="21">
        <v>0</v>
      </c>
      <c r="W406" s="393" t="s">
        <v>1922</v>
      </c>
      <c r="X406" s="390" t="s">
        <v>866</v>
      </c>
      <c r="Y406" s="257" t="s">
        <v>305</v>
      </c>
      <c r="Z406" s="67" t="s">
        <v>829</v>
      </c>
      <c r="AA406" s="67" t="s">
        <v>829</v>
      </c>
    </row>
    <row r="407" spans="1:27" s="467" customFormat="1" ht="39.75" customHeight="1" x14ac:dyDescent="0.25">
      <c r="A407" s="136" t="s">
        <v>416</v>
      </c>
      <c r="B407" s="116" t="s">
        <v>417</v>
      </c>
      <c r="C407" s="141">
        <v>2016</v>
      </c>
      <c r="D407" s="68" t="s">
        <v>1000</v>
      </c>
      <c r="E407" s="77" t="s">
        <v>410</v>
      </c>
      <c r="F407" s="77" t="s">
        <v>410</v>
      </c>
      <c r="G407" s="164" t="s">
        <v>894</v>
      </c>
      <c r="H407" s="19">
        <v>53750.42</v>
      </c>
      <c r="I407" s="19">
        <v>5771.2</v>
      </c>
      <c r="J407" s="1428">
        <v>36000</v>
      </c>
      <c r="K407" s="648">
        <v>36000</v>
      </c>
      <c r="L407" s="335">
        <v>0</v>
      </c>
      <c r="M407" s="37">
        <v>0</v>
      </c>
      <c r="N407" s="255">
        <v>0</v>
      </c>
      <c r="O407" s="20">
        <v>0</v>
      </c>
      <c r="P407" s="1749">
        <v>0</v>
      </c>
      <c r="Q407" s="587">
        <v>0</v>
      </c>
      <c r="R407" s="1719">
        <f t="shared" si="18"/>
        <v>0</v>
      </c>
      <c r="S407" s="21">
        <v>0</v>
      </c>
      <c r="T407" s="21">
        <v>11979.22</v>
      </c>
      <c r="U407" s="37">
        <v>0</v>
      </c>
      <c r="V407" s="21">
        <v>0</v>
      </c>
      <c r="W407" s="1471" t="s">
        <v>1923</v>
      </c>
      <c r="X407" s="390" t="s">
        <v>866</v>
      </c>
      <c r="Y407" s="257" t="s">
        <v>563</v>
      </c>
      <c r="Z407" s="67" t="s">
        <v>829</v>
      </c>
      <c r="AA407" s="67" t="s">
        <v>829</v>
      </c>
    </row>
    <row r="408" spans="1:27" ht="25.5" x14ac:dyDescent="0.25">
      <c r="A408" s="849" t="s">
        <v>418</v>
      </c>
      <c r="B408" s="850" t="s">
        <v>419</v>
      </c>
      <c r="C408" s="919">
        <v>2016</v>
      </c>
      <c r="D408" s="553" t="s">
        <v>1000</v>
      </c>
      <c r="E408" s="802" t="s">
        <v>420</v>
      </c>
      <c r="F408" s="802" t="s">
        <v>420</v>
      </c>
      <c r="G408" s="989" t="s">
        <v>421</v>
      </c>
      <c r="H408" s="1245">
        <v>64134.499000000003</v>
      </c>
      <c r="I408" s="1245">
        <v>51668.417599999993</v>
      </c>
      <c r="J408" s="767">
        <v>2000</v>
      </c>
      <c r="K408" s="862">
        <v>0</v>
      </c>
      <c r="L408" s="1545">
        <v>2000</v>
      </c>
      <c r="M408" s="1166">
        <v>0</v>
      </c>
      <c r="N408" s="771">
        <v>0</v>
      </c>
      <c r="O408" s="773">
        <v>0</v>
      </c>
      <c r="P408" s="1751">
        <v>2000</v>
      </c>
      <c r="Q408" s="1752">
        <v>0</v>
      </c>
      <c r="R408" s="1466">
        <f t="shared" si="18"/>
        <v>2000</v>
      </c>
      <c r="S408" s="855">
        <v>0</v>
      </c>
      <c r="T408" s="759">
        <v>0</v>
      </c>
      <c r="U408" s="1166">
        <v>0</v>
      </c>
      <c r="V408" s="855">
        <v>10466.081399999999</v>
      </c>
      <c r="W408" s="1261" t="s">
        <v>1789</v>
      </c>
      <c r="X408" s="1246" t="s">
        <v>46</v>
      </c>
      <c r="Y408" s="775" t="s">
        <v>977</v>
      </c>
      <c r="Z408" s="774" t="s">
        <v>829</v>
      </c>
      <c r="AA408" s="774" t="s">
        <v>829</v>
      </c>
    </row>
    <row r="409" spans="1:27" s="467" customFormat="1" ht="36" customHeight="1" x14ac:dyDescent="0.25">
      <c r="A409" s="136" t="s">
        <v>422</v>
      </c>
      <c r="B409" s="116" t="s">
        <v>423</v>
      </c>
      <c r="C409" s="141">
        <v>2017</v>
      </c>
      <c r="D409" s="68" t="s">
        <v>996</v>
      </c>
      <c r="E409" s="77" t="s">
        <v>405</v>
      </c>
      <c r="F409" s="77" t="s">
        <v>405</v>
      </c>
      <c r="G409" s="164" t="s">
        <v>424</v>
      </c>
      <c r="H409" s="19">
        <v>40039.019999999997</v>
      </c>
      <c r="I409" s="19">
        <v>27585.908880000003</v>
      </c>
      <c r="J409" s="1428">
        <v>12453.11112</v>
      </c>
      <c r="K409" s="648">
        <v>12453.11112</v>
      </c>
      <c r="L409" s="335">
        <v>0</v>
      </c>
      <c r="M409" s="37">
        <v>0</v>
      </c>
      <c r="N409" s="255">
        <v>0</v>
      </c>
      <c r="O409" s="20">
        <v>0</v>
      </c>
      <c r="P409" s="1749">
        <v>0</v>
      </c>
      <c r="Q409" s="587">
        <v>0</v>
      </c>
      <c r="R409" s="1719">
        <f t="shared" si="18"/>
        <v>0</v>
      </c>
      <c r="S409" s="21">
        <v>0</v>
      </c>
      <c r="T409" s="21">
        <v>0</v>
      </c>
      <c r="U409" s="37">
        <v>0</v>
      </c>
      <c r="V409" s="21">
        <v>0</v>
      </c>
      <c r="W409" s="394" t="s">
        <v>776</v>
      </c>
      <c r="X409" s="390" t="s">
        <v>866</v>
      </c>
      <c r="Y409" s="257" t="s">
        <v>747</v>
      </c>
      <c r="Z409" s="67" t="s">
        <v>829</v>
      </c>
      <c r="AA409" s="67" t="s">
        <v>829</v>
      </c>
    </row>
    <row r="410" spans="1:27" s="429" customFormat="1" ht="63" customHeight="1" x14ac:dyDescent="0.25">
      <c r="A410" s="849" t="s">
        <v>425</v>
      </c>
      <c r="B410" s="850" t="s">
        <v>426</v>
      </c>
      <c r="C410" s="919">
        <v>2017</v>
      </c>
      <c r="D410" s="553" t="s">
        <v>996</v>
      </c>
      <c r="E410" s="802" t="s">
        <v>405</v>
      </c>
      <c r="F410" s="802" t="s">
        <v>405</v>
      </c>
      <c r="G410" s="989" t="s">
        <v>427</v>
      </c>
      <c r="H410" s="767">
        <v>20400</v>
      </c>
      <c r="I410" s="767">
        <v>3488.43</v>
      </c>
      <c r="J410" s="767">
        <v>3711.5699999999997</v>
      </c>
      <c r="K410" s="862">
        <v>3455.76</v>
      </c>
      <c r="L410" s="1524">
        <v>0</v>
      </c>
      <c r="M410" s="756">
        <v>0</v>
      </c>
      <c r="N410" s="841">
        <v>0</v>
      </c>
      <c r="O410" s="857">
        <v>255.81</v>
      </c>
      <c r="P410" s="1145">
        <v>255.81</v>
      </c>
      <c r="Q410" s="1144">
        <v>0</v>
      </c>
      <c r="R410" s="1145">
        <f t="shared" si="18"/>
        <v>255.81</v>
      </c>
      <c r="S410" s="855">
        <v>0</v>
      </c>
      <c r="T410" s="855">
        <v>3000</v>
      </c>
      <c r="U410" s="756">
        <v>0</v>
      </c>
      <c r="V410" s="855">
        <v>10200</v>
      </c>
      <c r="W410" s="1261" t="s">
        <v>1959</v>
      </c>
      <c r="X410" s="553" t="s">
        <v>46</v>
      </c>
      <c r="Y410" s="775" t="s">
        <v>1759</v>
      </c>
      <c r="Z410" s="774" t="s">
        <v>828</v>
      </c>
      <c r="AA410" s="774" t="s">
        <v>828</v>
      </c>
    </row>
    <row r="411" spans="1:27" s="467" customFormat="1" ht="30" x14ac:dyDescent="0.25">
      <c r="A411" s="136" t="s">
        <v>428</v>
      </c>
      <c r="B411" s="116" t="s">
        <v>429</v>
      </c>
      <c r="C411" s="141">
        <v>2017</v>
      </c>
      <c r="D411" s="68" t="s">
        <v>996</v>
      </c>
      <c r="E411" s="77" t="s">
        <v>430</v>
      </c>
      <c r="F411" s="77" t="s">
        <v>430</v>
      </c>
      <c r="G411" s="164" t="s">
        <v>431</v>
      </c>
      <c r="H411" s="19">
        <v>99892</v>
      </c>
      <c r="I411" s="19">
        <v>68500</v>
      </c>
      <c r="J411" s="1428">
        <v>26500</v>
      </c>
      <c r="K411" s="648">
        <v>26500</v>
      </c>
      <c r="L411" s="335">
        <v>0</v>
      </c>
      <c r="M411" s="37">
        <v>0</v>
      </c>
      <c r="N411" s="255">
        <v>0</v>
      </c>
      <c r="O411" s="20">
        <v>0</v>
      </c>
      <c r="P411" s="1749">
        <f>15011.00402-15011.00402</f>
        <v>0</v>
      </c>
      <c r="Q411" s="587">
        <v>0</v>
      </c>
      <c r="R411" s="1719">
        <f t="shared" si="18"/>
        <v>0</v>
      </c>
      <c r="S411" s="21">
        <v>0</v>
      </c>
      <c r="T411" s="21">
        <v>4892</v>
      </c>
      <c r="U411" s="37">
        <v>0</v>
      </c>
      <c r="V411" s="21">
        <v>0</v>
      </c>
      <c r="W411" s="392" t="s">
        <v>776</v>
      </c>
      <c r="X411" s="390" t="s">
        <v>866</v>
      </c>
      <c r="Y411" s="257" t="s">
        <v>305</v>
      </c>
      <c r="Z411" s="67" t="s">
        <v>829</v>
      </c>
      <c r="AA411" s="67" t="s">
        <v>829</v>
      </c>
    </row>
    <row r="412" spans="1:27" ht="38.25" x14ac:dyDescent="0.25">
      <c r="A412" s="64" t="s">
        <v>432</v>
      </c>
      <c r="B412" s="87" t="s">
        <v>433</v>
      </c>
      <c r="C412" s="139">
        <v>2017</v>
      </c>
      <c r="D412" s="5" t="s">
        <v>995</v>
      </c>
      <c r="E412" s="66" t="s">
        <v>410</v>
      </c>
      <c r="F412" s="66" t="s">
        <v>410</v>
      </c>
      <c r="G412" s="548" t="s">
        <v>434</v>
      </c>
      <c r="H412" s="421">
        <v>11287.554</v>
      </c>
      <c r="I412" s="14">
        <v>0</v>
      </c>
      <c r="J412" s="677">
        <v>8993.2240000000002</v>
      </c>
      <c r="K412" s="246">
        <v>8993.2240000000002</v>
      </c>
      <c r="L412" s="1525">
        <v>0</v>
      </c>
      <c r="M412" s="27">
        <v>0</v>
      </c>
      <c r="N412" s="247">
        <v>0</v>
      </c>
      <c r="O412" s="15">
        <v>0</v>
      </c>
      <c r="P412" s="1747">
        <v>0</v>
      </c>
      <c r="Q412" s="523">
        <v>0</v>
      </c>
      <c r="R412" s="1715">
        <f t="shared" si="18"/>
        <v>0</v>
      </c>
      <c r="S412" s="16">
        <v>0</v>
      </c>
      <c r="T412" s="247">
        <v>2294.33</v>
      </c>
      <c r="U412" s="27">
        <v>0</v>
      </c>
      <c r="V412" s="16">
        <v>0</v>
      </c>
      <c r="W412" s="1262" t="s">
        <v>1795</v>
      </c>
      <c r="X412" s="5" t="s">
        <v>46</v>
      </c>
      <c r="Y412" s="232" t="s">
        <v>854</v>
      </c>
      <c r="Z412" s="104" t="s">
        <v>829</v>
      </c>
      <c r="AA412" s="104" t="s">
        <v>829</v>
      </c>
    </row>
    <row r="413" spans="1:27" ht="36" customHeight="1" x14ac:dyDescent="0.25">
      <c r="A413" s="64" t="s">
        <v>435</v>
      </c>
      <c r="B413" s="87" t="s">
        <v>436</v>
      </c>
      <c r="C413" s="139">
        <v>2017</v>
      </c>
      <c r="D413" s="5" t="s">
        <v>995</v>
      </c>
      <c r="E413" s="66" t="s">
        <v>405</v>
      </c>
      <c r="F413" s="66" t="s">
        <v>405</v>
      </c>
      <c r="G413" s="548" t="s">
        <v>437</v>
      </c>
      <c r="H413" s="14">
        <v>45685</v>
      </c>
      <c r="I413" s="14">
        <v>0</v>
      </c>
      <c r="J413" s="677">
        <v>15000</v>
      </c>
      <c r="K413" s="246">
        <v>15000</v>
      </c>
      <c r="L413" s="1525">
        <v>15685</v>
      </c>
      <c r="M413" s="247">
        <v>10000</v>
      </c>
      <c r="N413" s="247">
        <v>0</v>
      </c>
      <c r="O413" s="15">
        <v>0</v>
      </c>
      <c r="P413" s="1747">
        <f>38147.47754-12462.47754</f>
        <v>25685</v>
      </c>
      <c r="Q413" s="523">
        <v>0</v>
      </c>
      <c r="R413" s="1715">
        <f t="shared" si="18"/>
        <v>25685</v>
      </c>
      <c r="S413" s="16">
        <v>0</v>
      </c>
      <c r="T413" s="16">
        <v>5000</v>
      </c>
      <c r="U413" s="27">
        <v>0</v>
      </c>
      <c r="V413" s="16">
        <v>0</v>
      </c>
      <c r="W413" s="1263" t="s">
        <v>776</v>
      </c>
      <c r="X413" s="5" t="s">
        <v>46</v>
      </c>
      <c r="Y413" s="232" t="s">
        <v>859</v>
      </c>
      <c r="Z413" s="104" t="s">
        <v>829</v>
      </c>
      <c r="AA413" s="104" t="s">
        <v>829</v>
      </c>
    </row>
    <row r="414" spans="1:27" s="467" customFormat="1" ht="50.25" customHeight="1" x14ac:dyDescent="0.25">
      <c r="A414" s="136" t="s">
        <v>438</v>
      </c>
      <c r="B414" s="116" t="s">
        <v>749</v>
      </c>
      <c r="C414" s="141">
        <v>2018</v>
      </c>
      <c r="D414" s="68" t="s">
        <v>222</v>
      </c>
      <c r="E414" s="77" t="s">
        <v>410</v>
      </c>
      <c r="F414" s="77" t="s">
        <v>410</v>
      </c>
      <c r="G414" s="164" t="s">
        <v>439</v>
      </c>
      <c r="H414" s="19">
        <v>99313</v>
      </c>
      <c r="I414" s="19">
        <v>24500</v>
      </c>
      <c r="J414" s="1428">
        <v>54813</v>
      </c>
      <c r="K414" s="648">
        <v>54813</v>
      </c>
      <c r="L414" s="1569">
        <v>0</v>
      </c>
      <c r="M414" s="79">
        <v>0</v>
      </c>
      <c r="N414" s="740">
        <v>0</v>
      </c>
      <c r="O414" s="39">
        <v>0</v>
      </c>
      <c r="P414" s="1749">
        <f>54813-54813</f>
        <v>0</v>
      </c>
      <c r="Q414" s="587">
        <v>0</v>
      </c>
      <c r="R414" s="1719">
        <f t="shared" si="18"/>
        <v>0</v>
      </c>
      <c r="S414" s="21">
        <v>0</v>
      </c>
      <c r="T414" s="38">
        <v>20000</v>
      </c>
      <c r="U414" s="37">
        <v>0</v>
      </c>
      <c r="V414" s="21">
        <v>0</v>
      </c>
      <c r="W414" s="746" t="s">
        <v>776</v>
      </c>
      <c r="X414" s="390" t="s">
        <v>866</v>
      </c>
      <c r="Y414" s="257" t="s">
        <v>562</v>
      </c>
      <c r="Z414" s="67" t="s">
        <v>829</v>
      </c>
      <c r="AA414" s="67" t="s">
        <v>829</v>
      </c>
    </row>
    <row r="415" spans="1:27" s="429" customFormat="1" ht="47.25" customHeight="1" x14ac:dyDescent="0.25">
      <c r="A415" s="64" t="s">
        <v>441</v>
      </c>
      <c r="B415" s="87" t="s">
        <v>750</v>
      </c>
      <c r="C415" s="139">
        <v>2018</v>
      </c>
      <c r="D415" s="5" t="s">
        <v>884</v>
      </c>
      <c r="E415" s="66" t="s">
        <v>405</v>
      </c>
      <c r="F415" s="66" t="s">
        <v>405</v>
      </c>
      <c r="G415" s="548" t="s">
        <v>442</v>
      </c>
      <c r="H415" s="14">
        <v>31544.25</v>
      </c>
      <c r="I415" s="14">
        <v>4090.2245300000004</v>
      </c>
      <c r="J415" s="677">
        <v>24404.03</v>
      </c>
      <c r="K415" s="246">
        <v>24404.03</v>
      </c>
      <c r="L415" s="1525">
        <v>0</v>
      </c>
      <c r="M415" s="27">
        <v>0</v>
      </c>
      <c r="N415" s="247">
        <v>0</v>
      </c>
      <c r="O415" s="15">
        <v>0</v>
      </c>
      <c r="P415" s="1747">
        <v>0</v>
      </c>
      <c r="Q415" s="523">
        <v>0</v>
      </c>
      <c r="R415" s="1715">
        <f t="shared" si="18"/>
        <v>0</v>
      </c>
      <c r="S415" s="16">
        <v>0</v>
      </c>
      <c r="T415" s="16">
        <v>2000</v>
      </c>
      <c r="U415" s="27">
        <v>0</v>
      </c>
      <c r="V415" s="16">
        <v>1049.9954700000001</v>
      </c>
      <c r="W415" s="419" t="s">
        <v>1463</v>
      </c>
      <c r="X415" s="44" t="s">
        <v>46</v>
      </c>
      <c r="Y415" s="232" t="s">
        <v>1759</v>
      </c>
      <c r="Z415" s="104" t="s">
        <v>829</v>
      </c>
      <c r="AA415" s="104" t="s">
        <v>829</v>
      </c>
    </row>
    <row r="416" spans="1:27" ht="89.25" x14ac:dyDescent="0.25">
      <c r="A416" s="64" t="s">
        <v>443</v>
      </c>
      <c r="B416" s="87" t="s">
        <v>751</v>
      </c>
      <c r="C416" s="139">
        <v>2018</v>
      </c>
      <c r="D416" s="5" t="s">
        <v>884</v>
      </c>
      <c r="E416" s="66" t="s">
        <v>405</v>
      </c>
      <c r="F416" s="152" t="s">
        <v>405</v>
      </c>
      <c r="G416" s="548" t="s">
        <v>444</v>
      </c>
      <c r="H416" s="14">
        <v>2500</v>
      </c>
      <c r="I416" s="14">
        <v>346.99721</v>
      </c>
      <c r="J416" s="677">
        <v>778.00279</v>
      </c>
      <c r="K416" s="246">
        <v>778.00279</v>
      </c>
      <c r="L416" s="1525">
        <v>0</v>
      </c>
      <c r="M416" s="27">
        <v>0</v>
      </c>
      <c r="N416" s="247">
        <v>0</v>
      </c>
      <c r="O416" s="15">
        <v>0</v>
      </c>
      <c r="P416" s="1747">
        <v>0</v>
      </c>
      <c r="Q416" s="523">
        <v>0</v>
      </c>
      <c r="R416" s="1715">
        <f t="shared" si="18"/>
        <v>0</v>
      </c>
      <c r="S416" s="16">
        <v>0</v>
      </c>
      <c r="T416" s="16">
        <v>250</v>
      </c>
      <c r="U416" s="27">
        <v>0</v>
      </c>
      <c r="V416" s="16">
        <v>1125</v>
      </c>
      <c r="W416" s="419" t="s">
        <v>1403</v>
      </c>
      <c r="X416" s="44" t="s">
        <v>1404</v>
      </c>
      <c r="Y416" s="232" t="s">
        <v>1405</v>
      </c>
      <c r="Z416" s="104" t="s">
        <v>1151</v>
      </c>
      <c r="AA416" s="104" t="s">
        <v>1151</v>
      </c>
    </row>
    <row r="417" spans="1:27" s="467" customFormat="1" ht="38.25" customHeight="1" x14ac:dyDescent="0.25">
      <c r="A417" s="136" t="s">
        <v>445</v>
      </c>
      <c r="B417" s="116" t="s">
        <v>752</v>
      </c>
      <c r="C417" s="141">
        <v>2018</v>
      </c>
      <c r="D417" s="68" t="s">
        <v>884</v>
      </c>
      <c r="E417" s="77" t="s">
        <v>405</v>
      </c>
      <c r="F417" s="70" t="s">
        <v>405</v>
      </c>
      <c r="G417" s="164" t="s">
        <v>446</v>
      </c>
      <c r="H417" s="19">
        <v>12415</v>
      </c>
      <c r="I417" s="19">
        <v>5470.1869400000005</v>
      </c>
      <c r="J417" s="1428">
        <v>6944.8130600000004</v>
      </c>
      <c r="K417" s="648">
        <v>6944.8130600000004</v>
      </c>
      <c r="L417" s="335">
        <v>0</v>
      </c>
      <c r="M417" s="37">
        <v>0</v>
      </c>
      <c r="N417" s="255">
        <v>0</v>
      </c>
      <c r="O417" s="20">
        <v>0</v>
      </c>
      <c r="P417" s="1749">
        <v>0</v>
      </c>
      <c r="Q417" s="587">
        <v>0</v>
      </c>
      <c r="R417" s="1719">
        <f t="shared" si="18"/>
        <v>0</v>
      </c>
      <c r="S417" s="21">
        <v>0</v>
      </c>
      <c r="T417" s="21">
        <v>0</v>
      </c>
      <c r="U417" s="37">
        <v>0</v>
      </c>
      <c r="V417" s="21">
        <v>0</v>
      </c>
      <c r="W417" s="394" t="s">
        <v>776</v>
      </c>
      <c r="X417" s="390" t="s">
        <v>866</v>
      </c>
      <c r="Y417" s="257" t="s">
        <v>747</v>
      </c>
      <c r="Z417" s="67" t="s">
        <v>829</v>
      </c>
      <c r="AA417" s="67" t="s">
        <v>829</v>
      </c>
    </row>
    <row r="418" spans="1:27" s="467" customFormat="1" ht="30" x14ac:dyDescent="0.25">
      <c r="A418" s="136" t="s">
        <v>447</v>
      </c>
      <c r="B418" s="118" t="s">
        <v>753</v>
      </c>
      <c r="C418" s="141">
        <v>2018</v>
      </c>
      <c r="D418" s="68" t="s">
        <v>102</v>
      </c>
      <c r="E418" s="77" t="s">
        <v>401</v>
      </c>
      <c r="F418" s="77" t="s">
        <v>401</v>
      </c>
      <c r="G418" s="164" t="s">
        <v>448</v>
      </c>
      <c r="H418" s="376">
        <f>7235.16-0.00108</f>
        <v>7235.1589199999999</v>
      </c>
      <c r="I418" s="19">
        <v>2500</v>
      </c>
      <c r="J418" s="1428">
        <v>3479.4710799999998</v>
      </c>
      <c r="K418" s="648">
        <v>3479.47</v>
      </c>
      <c r="L418" s="335">
        <v>0</v>
      </c>
      <c r="M418" s="37">
        <v>0</v>
      </c>
      <c r="N418" s="255">
        <v>0</v>
      </c>
      <c r="O418" s="20">
        <v>0</v>
      </c>
      <c r="P418" s="1749">
        <v>0</v>
      </c>
      <c r="Q418" s="587">
        <v>0</v>
      </c>
      <c r="R418" s="1719">
        <v>0</v>
      </c>
      <c r="S418" s="21">
        <v>0</v>
      </c>
      <c r="T418" s="21">
        <v>1255.6889200000001</v>
      </c>
      <c r="U418" s="37">
        <v>0</v>
      </c>
      <c r="V418" s="21">
        <v>0</v>
      </c>
      <c r="W418" s="394" t="s">
        <v>776</v>
      </c>
      <c r="X418" s="390" t="s">
        <v>866</v>
      </c>
      <c r="Y418" s="257" t="s">
        <v>25</v>
      </c>
      <c r="Z418" s="67" t="s">
        <v>829</v>
      </c>
      <c r="AA418" s="67" t="s">
        <v>829</v>
      </c>
    </row>
    <row r="419" spans="1:27" ht="26.25" thickBot="1" x14ac:dyDescent="0.3">
      <c r="A419" s="132" t="s">
        <v>449</v>
      </c>
      <c r="B419" s="135" t="s">
        <v>754</v>
      </c>
      <c r="C419" s="371">
        <v>2018</v>
      </c>
      <c r="D419" s="133" t="s">
        <v>102</v>
      </c>
      <c r="E419" s="544" t="s">
        <v>440</v>
      </c>
      <c r="F419" s="544" t="s">
        <v>440</v>
      </c>
      <c r="G419" s="554" t="s">
        <v>450</v>
      </c>
      <c r="H419" s="46">
        <v>68000</v>
      </c>
      <c r="I419" s="46">
        <v>33000</v>
      </c>
      <c r="J419" s="677">
        <v>33000</v>
      </c>
      <c r="K419" s="250">
        <v>33000</v>
      </c>
      <c r="L419" s="1540">
        <v>0</v>
      </c>
      <c r="M419" s="98">
        <v>0</v>
      </c>
      <c r="N419" s="251">
        <v>0</v>
      </c>
      <c r="O419" s="47">
        <v>0</v>
      </c>
      <c r="P419" s="1746">
        <v>0</v>
      </c>
      <c r="Q419" s="526">
        <v>0</v>
      </c>
      <c r="R419" s="1714">
        <f t="shared" ref="R419:R434" si="19">P419+Q419</f>
        <v>0</v>
      </c>
      <c r="S419" s="49">
        <v>0</v>
      </c>
      <c r="T419" s="49">
        <v>2000</v>
      </c>
      <c r="U419" s="98">
        <v>0</v>
      </c>
      <c r="V419" s="49">
        <v>0</v>
      </c>
      <c r="W419" s="225" t="s">
        <v>776</v>
      </c>
      <c r="X419" s="133" t="s">
        <v>1152</v>
      </c>
      <c r="Y419" s="233" t="s">
        <v>883</v>
      </c>
      <c r="Z419" s="137" t="s">
        <v>829</v>
      </c>
      <c r="AA419" s="137" t="s">
        <v>829</v>
      </c>
    </row>
    <row r="420" spans="1:27" ht="25.5" x14ac:dyDescent="0.25">
      <c r="A420" s="117" t="s">
        <v>755</v>
      </c>
      <c r="B420" s="582" t="s">
        <v>1126</v>
      </c>
      <c r="C420" s="4">
        <v>2019</v>
      </c>
      <c r="D420" s="4" t="s">
        <v>801</v>
      </c>
      <c r="E420" s="62" t="s">
        <v>440</v>
      </c>
      <c r="F420" s="90" t="s">
        <v>440</v>
      </c>
      <c r="G420" s="546" t="s">
        <v>756</v>
      </c>
      <c r="H420" s="1">
        <v>230000</v>
      </c>
      <c r="I420" s="1">
        <v>0</v>
      </c>
      <c r="J420" s="677">
        <v>30000</v>
      </c>
      <c r="K420" s="246">
        <v>29999.99999</v>
      </c>
      <c r="L420" s="1534">
        <v>100000</v>
      </c>
      <c r="M420" s="182">
        <v>97000.000010000003</v>
      </c>
      <c r="N420" s="420">
        <v>0</v>
      </c>
      <c r="O420" s="2">
        <v>0</v>
      </c>
      <c r="P420" s="1742">
        <f>220001.41301-23001.413</f>
        <v>197000.00000999999</v>
      </c>
      <c r="Q420" s="652">
        <v>0</v>
      </c>
      <c r="R420" s="1715">
        <f t="shared" si="19"/>
        <v>197000.00000999999</v>
      </c>
      <c r="S420" s="3">
        <v>0</v>
      </c>
      <c r="T420" s="3">
        <v>3000</v>
      </c>
      <c r="U420" s="25">
        <v>0</v>
      </c>
      <c r="V420" s="3">
        <v>0</v>
      </c>
      <c r="W420" s="254" t="s">
        <v>776</v>
      </c>
      <c r="X420" s="4" t="s">
        <v>1152</v>
      </c>
      <c r="Y420" s="307" t="s">
        <v>880</v>
      </c>
      <c r="Z420" s="106" t="s">
        <v>829</v>
      </c>
      <c r="AA420" s="106" t="s">
        <v>829</v>
      </c>
    </row>
    <row r="421" spans="1:27" s="467" customFormat="1" ht="25.5" x14ac:dyDescent="0.25">
      <c r="A421" s="136" t="s">
        <v>758</v>
      </c>
      <c r="B421" s="389" t="s">
        <v>1406</v>
      </c>
      <c r="C421" s="68">
        <v>2019</v>
      </c>
      <c r="D421" s="68" t="s">
        <v>801</v>
      </c>
      <c r="E421" s="69" t="s">
        <v>410</v>
      </c>
      <c r="F421" s="77" t="s">
        <v>410</v>
      </c>
      <c r="G421" s="164" t="s">
        <v>993</v>
      </c>
      <c r="H421" s="19">
        <v>25986</v>
      </c>
      <c r="I421" s="19">
        <v>0</v>
      </c>
      <c r="J421" s="1428">
        <v>10000</v>
      </c>
      <c r="K421" s="648">
        <v>10000</v>
      </c>
      <c r="L421" s="335">
        <v>0</v>
      </c>
      <c r="M421" s="37">
        <v>0</v>
      </c>
      <c r="N421" s="255">
        <v>0</v>
      </c>
      <c r="O421" s="20">
        <v>0</v>
      </c>
      <c r="P421" s="1749">
        <v>0</v>
      </c>
      <c r="Q421" s="587">
        <v>0</v>
      </c>
      <c r="R421" s="1719">
        <f t="shared" si="19"/>
        <v>0</v>
      </c>
      <c r="S421" s="21">
        <v>0</v>
      </c>
      <c r="T421" s="21">
        <v>15986</v>
      </c>
      <c r="U421" s="37">
        <v>0</v>
      </c>
      <c r="V421" s="21">
        <v>0</v>
      </c>
      <c r="W421" s="141" t="s">
        <v>776</v>
      </c>
      <c r="X421" s="68" t="s">
        <v>866</v>
      </c>
      <c r="Y421" s="391" t="s">
        <v>25</v>
      </c>
      <c r="Z421" s="67" t="s">
        <v>829</v>
      </c>
      <c r="AA421" s="407" t="s">
        <v>829</v>
      </c>
    </row>
    <row r="422" spans="1:27" s="467" customFormat="1" ht="30.75" thickBot="1" x14ac:dyDescent="0.3">
      <c r="A422" s="201" t="s">
        <v>760</v>
      </c>
      <c r="B422" s="395" t="s">
        <v>1407</v>
      </c>
      <c r="C422" s="191">
        <v>2019</v>
      </c>
      <c r="D422" s="191" t="s">
        <v>801</v>
      </c>
      <c r="E422" s="377" t="s">
        <v>430</v>
      </c>
      <c r="F422" s="202" t="s">
        <v>430</v>
      </c>
      <c r="G422" s="203" t="s">
        <v>759</v>
      </c>
      <c r="H422" s="204">
        <v>19900</v>
      </c>
      <c r="I422" s="204">
        <v>0</v>
      </c>
      <c r="J422" s="1445">
        <v>16000</v>
      </c>
      <c r="K422" s="649">
        <v>16000</v>
      </c>
      <c r="L422" s="396">
        <v>0</v>
      </c>
      <c r="M422" s="397">
        <v>0</v>
      </c>
      <c r="N422" s="379">
        <v>0</v>
      </c>
      <c r="O422" s="206">
        <v>0</v>
      </c>
      <c r="P422" s="1753">
        <f>16000-16000</f>
        <v>0</v>
      </c>
      <c r="Q422" s="1754">
        <v>0</v>
      </c>
      <c r="R422" s="1720">
        <f t="shared" si="19"/>
        <v>0</v>
      </c>
      <c r="S422" s="205">
        <v>0</v>
      </c>
      <c r="T422" s="205">
        <v>3900</v>
      </c>
      <c r="U422" s="397">
        <v>0</v>
      </c>
      <c r="V422" s="205">
        <v>0</v>
      </c>
      <c r="W422" s="1248" t="s">
        <v>776</v>
      </c>
      <c r="X422" s="398" t="s">
        <v>866</v>
      </c>
      <c r="Y422" s="1580" t="s">
        <v>305</v>
      </c>
      <c r="Z422" s="208" t="s">
        <v>829</v>
      </c>
      <c r="AA422" s="208" t="s">
        <v>829</v>
      </c>
    </row>
    <row r="423" spans="1:27" s="464" customFormat="1" ht="25.5" x14ac:dyDescent="0.25">
      <c r="A423" s="1249" t="s">
        <v>990</v>
      </c>
      <c r="B423" s="1250" t="s">
        <v>1408</v>
      </c>
      <c r="C423" s="714">
        <v>2019</v>
      </c>
      <c r="D423" s="355" t="s">
        <v>1150</v>
      </c>
      <c r="E423" s="1251" t="s">
        <v>405</v>
      </c>
      <c r="F423" s="1252" t="s">
        <v>405</v>
      </c>
      <c r="G423" s="1253" t="s">
        <v>992</v>
      </c>
      <c r="H423" s="745">
        <v>7611.0568400000002</v>
      </c>
      <c r="I423" s="745">
        <v>0</v>
      </c>
      <c r="J423" s="1459">
        <v>8000</v>
      </c>
      <c r="K423" s="1174">
        <v>7611.0568400000002</v>
      </c>
      <c r="L423" s="1564">
        <v>0</v>
      </c>
      <c r="M423" s="1173">
        <v>0</v>
      </c>
      <c r="N423" s="1255">
        <v>0</v>
      </c>
      <c r="O423" s="1254">
        <v>0</v>
      </c>
      <c r="P423" s="1776">
        <v>388.94315999999998</v>
      </c>
      <c r="Q423" s="1871">
        <v>-388.94315999999998</v>
      </c>
      <c r="R423" s="1721">
        <f t="shared" si="19"/>
        <v>0</v>
      </c>
      <c r="S423" s="1256">
        <v>0</v>
      </c>
      <c r="T423" s="867">
        <v>0</v>
      </c>
      <c r="U423" s="1173">
        <v>0</v>
      </c>
      <c r="V423" s="867">
        <v>0</v>
      </c>
      <c r="W423" s="1264" t="s">
        <v>1796</v>
      </c>
      <c r="X423" s="1578" t="s">
        <v>866</v>
      </c>
      <c r="Y423" s="1579" t="s">
        <v>305</v>
      </c>
      <c r="Z423" s="1373" t="s">
        <v>829</v>
      </c>
      <c r="AA423" s="1373" t="s">
        <v>829</v>
      </c>
    </row>
    <row r="424" spans="1:27" s="1244" customFormat="1" ht="26.25" thickBot="1" x14ac:dyDescent="0.3">
      <c r="A424" s="201" t="s">
        <v>991</v>
      </c>
      <c r="B424" s="395" t="s">
        <v>1409</v>
      </c>
      <c r="C424" s="191">
        <v>2019</v>
      </c>
      <c r="D424" s="519" t="s">
        <v>1150</v>
      </c>
      <c r="E424" s="202" t="s">
        <v>401</v>
      </c>
      <c r="F424" s="202" t="s">
        <v>401</v>
      </c>
      <c r="G424" s="543" t="s">
        <v>989</v>
      </c>
      <c r="H424" s="204">
        <v>7865</v>
      </c>
      <c r="I424" s="204">
        <v>0</v>
      </c>
      <c r="J424" s="1445">
        <v>6500</v>
      </c>
      <c r="K424" s="649">
        <v>6500</v>
      </c>
      <c r="L424" s="396">
        <v>0</v>
      </c>
      <c r="M424" s="397">
        <v>0</v>
      </c>
      <c r="N424" s="379">
        <v>0</v>
      </c>
      <c r="O424" s="206">
        <v>0</v>
      </c>
      <c r="P424" s="1753">
        <v>0</v>
      </c>
      <c r="Q424" s="1754">
        <v>0</v>
      </c>
      <c r="R424" s="1720">
        <v>0</v>
      </c>
      <c r="S424" s="207">
        <v>0</v>
      </c>
      <c r="T424" s="205">
        <v>1365</v>
      </c>
      <c r="U424" s="397">
        <v>0</v>
      </c>
      <c r="V424" s="205">
        <v>0</v>
      </c>
      <c r="W424" s="1257" t="s">
        <v>776</v>
      </c>
      <c r="X424" s="398" t="s">
        <v>866</v>
      </c>
      <c r="Y424" s="1580" t="s">
        <v>562</v>
      </c>
      <c r="Z424" s="208" t="s">
        <v>829</v>
      </c>
      <c r="AA424" s="208" t="s">
        <v>829</v>
      </c>
    </row>
    <row r="425" spans="1:27" ht="25.5" x14ac:dyDescent="0.25">
      <c r="A425" s="61" t="s">
        <v>1456</v>
      </c>
      <c r="B425" s="582" t="s">
        <v>1586</v>
      </c>
      <c r="C425" s="4">
        <v>2019</v>
      </c>
      <c r="D425" s="4" t="s">
        <v>1843</v>
      </c>
      <c r="E425" s="90" t="s">
        <v>440</v>
      </c>
      <c r="F425" s="90" t="s">
        <v>440</v>
      </c>
      <c r="G425" s="542" t="s">
        <v>1410</v>
      </c>
      <c r="H425" s="1">
        <v>8500</v>
      </c>
      <c r="I425" s="1">
        <v>0</v>
      </c>
      <c r="J425" s="1405">
        <v>2500</v>
      </c>
      <c r="K425" s="246">
        <v>2500</v>
      </c>
      <c r="L425" s="1534">
        <v>0</v>
      </c>
      <c r="M425" s="25">
        <v>5500</v>
      </c>
      <c r="N425" s="420">
        <v>0</v>
      </c>
      <c r="O425" s="2">
        <v>0</v>
      </c>
      <c r="P425" s="1742">
        <v>5500</v>
      </c>
      <c r="Q425" s="652">
        <v>0</v>
      </c>
      <c r="R425" s="1715">
        <f t="shared" si="19"/>
        <v>5500</v>
      </c>
      <c r="S425" s="1210">
        <v>0</v>
      </c>
      <c r="T425" s="3">
        <v>500</v>
      </c>
      <c r="U425" s="25">
        <v>0</v>
      </c>
      <c r="V425" s="3">
        <v>0</v>
      </c>
      <c r="W425" s="416" t="s">
        <v>776</v>
      </c>
      <c r="X425" s="4" t="s">
        <v>1152</v>
      </c>
      <c r="Y425" s="307" t="s">
        <v>859</v>
      </c>
      <c r="Z425" s="106" t="s">
        <v>829</v>
      </c>
      <c r="AA425" s="106" t="s">
        <v>829</v>
      </c>
    </row>
    <row r="426" spans="1:27" s="464" customFormat="1" ht="25.5" x14ac:dyDescent="0.25">
      <c r="A426" s="728" t="s">
        <v>1457</v>
      </c>
      <c r="B426" s="1240" t="s">
        <v>1572</v>
      </c>
      <c r="C426" s="461">
        <v>2019</v>
      </c>
      <c r="D426" s="714" t="s">
        <v>1843</v>
      </c>
      <c r="E426" s="800" t="s">
        <v>405</v>
      </c>
      <c r="F426" s="800" t="s">
        <v>405</v>
      </c>
      <c r="G426" s="1241" t="s">
        <v>1411</v>
      </c>
      <c r="H426" s="462">
        <f>1600-172.93248</f>
        <v>1427.0675200000001</v>
      </c>
      <c r="I426" s="462">
        <v>0</v>
      </c>
      <c r="J426" s="1439">
        <v>1450</v>
      </c>
      <c r="K426" s="1174">
        <v>1277.0675200000001</v>
      </c>
      <c r="L426" s="1527">
        <v>0</v>
      </c>
      <c r="M426" s="733">
        <v>0</v>
      </c>
      <c r="N426" s="734">
        <v>0</v>
      </c>
      <c r="O426" s="735">
        <v>0</v>
      </c>
      <c r="P426" s="1757">
        <f>1450-1277.06752</f>
        <v>172.93247999999994</v>
      </c>
      <c r="Q426" s="1401">
        <f>-1*P426</f>
        <v>-172.93247999999994</v>
      </c>
      <c r="R426" s="1721">
        <f t="shared" si="19"/>
        <v>0</v>
      </c>
      <c r="S426" s="1242">
        <v>0</v>
      </c>
      <c r="T426" s="735">
        <v>150</v>
      </c>
      <c r="U426" s="733">
        <v>0</v>
      </c>
      <c r="V426" s="732">
        <v>0</v>
      </c>
      <c r="W426" s="1264" t="s">
        <v>1790</v>
      </c>
      <c r="X426" s="461" t="s">
        <v>866</v>
      </c>
      <c r="Y426" s="939" t="s">
        <v>305</v>
      </c>
      <c r="Z426" s="798" t="s">
        <v>829</v>
      </c>
      <c r="AA426" s="798" t="s">
        <v>829</v>
      </c>
    </row>
    <row r="427" spans="1:27" s="464" customFormat="1" ht="30" x14ac:dyDescent="0.25">
      <c r="A427" s="728" t="s">
        <v>1458</v>
      </c>
      <c r="B427" s="1240" t="s">
        <v>1573</v>
      </c>
      <c r="C427" s="461">
        <v>2019</v>
      </c>
      <c r="D427" s="714" t="s">
        <v>1843</v>
      </c>
      <c r="E427" s="800" t="s">
        <v>405</v>
      </c>
      <c r="F427" s="800" t="s">
        <v>405</v>
      </c>
      <c r="G427" s="1241" t="s">
        <v>770</v>
      </c>
      <c r="H427" s="462">
        <f>5700-462.67771</f>
        <v>5237.3222900000001</v>
      </c>
      <c r="I427" s="462">
        <v>0</v>
      </c>
      <c r="J427" s="1439">
        <v>5700</v>
      </c>
      <c r="K427" s="1174">
        <v>5237.3222900000001</v>
      </c>
      <c r="L427" s="1527">
        <v>0</v>
      </c>
      <c r="M427" s="733">
        <v>0</v>
      </c>
      <c r="N427" s="734">
        <v>0</v>
      </c>
      <c r="O427" s="735">
        <v>0</v>
      </c>
      <c r="P427" s="1757">
        <f>5700-5237.32229</f>
        <v>462.67770999999993</v>
      </c>
      <c r="Q427" s="1401">
        <f>-1*P427</f>
        <v>-462.67770999999993</v>
      </c>
      <c r="R427" s="1721">
        <f t="shared" si="19"/>
        <v>0</v>
      </c>
      <c r="S427" s="1242">
        <v>0</v>
      </c>
      <c r="T427" s="735">
        <v>0</v>
      </c>
      <c r="U427" s="733">
        <v>0</v>
      </c>
      <c r="V427" s="732">
        <v>0</v>
      </c>
      <c r="W427" s="1264" t="s">
        <v>1791</v>
      </c>
      <c r="X427" s="461" t="s">
        <v>866</v>
      </c>
      <c r="Y427" s="939" t="s">
        <v>305</v>
      </c>
      <c r="Z427" s="798" t="s">
        <v>829</v>
      </c>
      <c r="AA427" s="798" t="s">
        <v>829</v>
      </c>
    </row>
    <row r="428" spans="1:27" s="467" customFormat="1" ht="25.5" x14ac:dyDescent="0.25">
      <c r="A428" s="136" t="s">
        <v>1459</v>
      </c>
      <c r="B428" s="389" t="s">
        <v>1574</v>
      </c>
      <c r="C428" s="68">
        <v>2019</v>
      </c>
      <c r="D428" s="76" t="s">
        <v>1843</v>
      </c>
      <c r="E428" s="77" t="s">
        <v>410</v>
      </c>
      <c r="F428" s="77" t="s">
        <v>410</v>
      </c>
      <c r="G428" s="163" t="s">
        <v>1412</v>
      </c>
      <c r="H428" s="19">
        <v>5030</v>
      </c>
      <c r="I428" s="19">
        <v>0</v>
      </c>
      <c r="J428" s="1428">
        <v>5030</v>
      </c>
      <c r="K428" s="648">
        <v>5030</v>
      </c>
      <c r="L428" s="335">
        <v>0</v>
      </c>
      <c r="M428" s="37">
        <v>0</v>
      </c>
      <c r="N428" s="255">
        <v>0</v>
      </c>
      <c r="O428" s="20">
        <v>0</v>
      </c>
      <c r="P428" s="1749">
        <v>0</v>
      </c>
      <c r="Q428" s="587">
        <v>0</v>
      </c>
      <c r="R428" s="1719">
        <v>0</v>
      </c>
      <c r="S428" s="138">
        <v>0</v>
      </c>
      <c r="T428" s="20">
        <v>0</v>
      </c>
      <c r="U428" s="37">
        <v>0</v>
      </c>
      <c r="V428" s="21">
        <v>0</v>
      </c>
      <c r="W428" s="394" t="s">
        <v>1924</v>
      </c>
      <c r="X428" s="390" t="s">
        <v>866</v>
      </c>
      <c r="Y428" s="391" t="s">
        <v>305</v>
      </c>
      <c r="Z428" s="67" t="s">
        <v>829</v>
      </c>
      <c r="AA428" s="67" t="s">
        <v>829</v>
      </c>
    </row>
    <row r="429" spans="1:27" s="464" customFormat="1" ht="30" x14ac:dyDescent="0.25">
      <c r="A429" s="728" t="s">
        <v>1460</v>
      </c>
      <c r="B429" s="1240" t="s">
        <v>1575</v>
      </c>
      <c r="C429" s="461">
        <v>2019</v>
      </c>
      <c r="D429" s="714" t="s">
        <v>1843</v>
      </c>
      <c r="E429" s="800" t="s">
        <v>401</v>
      </c>
      <c r="F429" s="800" t="s">
        <v>401</v>
      </c>
      <c r="G429" s="1241" t="s">
        <v>1413</v>
      </c>
      <c r="H429" s="462">
        <f>6482-7.60167</f>
        <v>6474.39833</v>
      </c>
      <c r="I429" s="462">
        <v>0</v>
      </c>
      <c r="J429" s="1439">
        <v>6482</v>
      </c>
      <c r="K429" s="1174">
        <v>6474.39833</v>
      </c>
      <c r="L429" s="1527">
        <v>0</v>
      </c>
      <c r="M429" s="733">
        <v>0</v>
      </c>
      <c r="N429" s="734">
        <v>0</v>
      </c>
      <c r="O429" s="735">
        <v>0</v>
      </c>
      <c r="P429" s="1757">
        <f>6482-6474.39833</f>
        <v>7.6016700000000128</v>
      </c>
      <c r="Q429" s="1401">
        <v>-7.6016700000000004</v>
      </c>
      <c r="R429" s="1721">
        <f t="shared" si="19"/>
        <v>1.2434497875801753E-14</v>
      </c>
      <c r="S429" s="1242">
        <v>0</v>
      </c>
      <c r="T429" s="735">
        <v>0</v>
      </c>
      <c r="U429" s="733">
        <v>0</v>
      </c>
      <c r="V429" s="732">
        <v>0</v>
      </c>
      <c r="W429" s="1265" t="s">
        <v>1792</v>
      </c>
      <c r="X429" s="1258" t="s">
        <v>866</v>
      </c>
      <c r="Y429" s="939" t="s">
        <v>562</v>
      </c>
      <c r="Z429" s="798" t="s">
        <v>829</v>
      </c>
      <c r="AA429" s="798" t="s">
        <v>829</v>
      </c>
    </row>
    <row r="430" spans="1:27" s="467" customFormat="1" ht="25.5" x14ac:dyDescent="0.25">
      <c r="A430" s="185" t="s">
        <v>1483</v>
      </c>
      <c r="B430" s="1259" t="s">
        <v>1587</v>
      </c>
      <c r="C430" s="76">
        <v>2019</v>
      </c>
      <c r="D430" s="76" t="s">
        <v>1843</v>
      </c>
      <c r="E430" s="1200" t="s">
        <v>440</v>
      </c>
      <c r="F430" s="1200" t="s">
        <v>440</v>
      </c>
      <c r="G430" s="549" t="s">
        <v>1478</v>
      </c>
      <c r="H430" s="78">
        <v>2000</v>
      </c>
      <c r="I430" s="78">
        <v>0</v>
      </c>
      <c r="J430" s="1428">
        <v>2000</v>
      </c>
      <c r="K430" s="648">
        <v>2000</v>
      </c>
      <c r="L430" s="335">
        <v>0</v>
      </c>
      <c r="M430" s="37">
        <v>0</v>
      </c>
      <c r="N430" s="255">
        <v>0</v>
      </c>
      <c r="O430" s="20">
        <v>0</v>
      </c>
      <c r="P430" s="1749">
        <v>0</v>
      </c>
      <c r="Q430" s="587">
        <v>0</v>
      </c>
      <c r="R430" s="1719">
        <f t="shared" si="19"/>
        <v>0</v>
      </c>
      <c r="S430" s="1243">
        <v>0</v>
      </c>
      <c r="T430" s="38">
        <v>0</v>
      </c>
      <c r="U430" s="37">
        <v>0</v>
      </c>
      <c r="V430" s="21">
        <v>0</v>
      </c>
      <c r="W430" s="1238" t="s">
        <v>1591</v>
      </c>
      <c r="X430" s="390" t="s">
        <v>866</v>
      </c>
      <c r="Y430" s="391" t="s">
        <v>305</v>
      </c>
      <c r="Z430" s="620" t="s">
        <v>829</v>
      </c>
      <c r="AA430" s="620" t="s">
        <v>829</v>
      </c>
    </row>
    <row r="431" spans="1:27" s="467" customFormat="1" ht="30" x14ac:dyDescent="0.25">
      <c r="A431" s="136" t="s">
        <v>1484</v>
      </c>
      <c r="B431" s="389" t="s">
        <v>1588</v>
      </c>
      <c r="C431" s="68">
        <v>2019</v>
      </c>
      <c r="D431" s="76" t="s">
        <v>1843</v>
      </c>
      <c r="E431" s="77" t="s">
        <v>440</v>
      </c>
      <c r="F431" s="77" t="s">
        <v>440</v>
      </c>
      <c r="G431" s="163" t="s">
        <v>1479</v>
      </c>
      <c r="H431" s="19">
        <v>700</v>
      </c>
      <c r="I431" s="19">
        <v>0</v>
      </c>
      <c r="J431" s="1428">
        <v>700</v>
      </c>
      <c r="K431" s="648">
        <v>700</v>
      </c>
      <c r="L431" s="335">
        <v>0</v>
      </c>
      <c r="M431" s="37">
        <v>0</v>
      </c>
      <c r="N431" s="255">
        <v>0</v>
      </c>
      <c r="O431" s="20">
        <v>0</v>
      </c>
      <c r="P431" s="1749">
        <v>0</v>
      </c>
      <c r="Q431" s="587">
        <v>0</v>
      </c>
      <c r="R431" s="1719">
        <f t="shared" si="19"/>
        <v>0</v>
      </c>
      <c r="S431" s="138">
        <v>0</v>
      </c>
      <c r="T431" s="21">
        <v>0</v>
      </c>
      <c r="U431" s="37">
        <v>0</v>
      </c>
      <c r="V431" s="21">
        <v>0</v>
      </c>
      <c r="W431" s="1238" t="s">
        <v>1591</v>
      </c>
      <c r="X431" s="390" t="s">
        <v>866</v>
      </c>
      <c r="Y431" s="391" t="s">
        <v>305</v>
      </c>
      <c r="Z431" s="67" t="s">
        <v>829</v>
      </c>
      <c r="AA431" s="67" t="s">
        <v>829</v>
      </c>
    </row>
    <row r="432" spans="1:27" s="467" customFormat="1" ht="25.5" x14ac:dyDescent="0.25">
      <c r="A432" s="136" t="s">
        <v>1485</v>
      </c>
      <c r="B432" s="389" t="s">
        <v>1589</v>
      </c>
      <c r="C432" s="68">
        <v>2019</v>
      </c>
      <c r="D432" s="76" t="s">
        <v>1843</v>
      </c>
      <c r="E432" s="77" t="s">
        <v>440</v>
      </c>
      <c r="F432" s="77" t="s">
        <v>440</v>
      </c>
      <c r="G432" s="163" t="s">
        <v>757</v>
      </c>
      <c r="H432" s="19">
        <v>2200</v>
      </c>
      <c r="I432" s="19">
        <v>0</v>
      </c>
      <c r="J432" s="1428">
        <v>2088</v>
      </c>
      <c r="K432" s="648">
        <v>2088</v>
      </c>
      <c r="L432" s="335">
        <v>0</v>
      </c>
      <c r="M432" s="37">
        <v>0</v>
      </c>
      <c r="N432" s="255">
        <v>0</v>
      </c>
      <c r="O432" s="20">
        <v>0</v>
      </c>
      <c r="P432" s="1749">
        <v>0</v>
      </c>
      <c r="Q432" s="587">
        <v>0</v>
      </c>
      <c r="R432" s="1719">
        <f t="shared" si="19"/>
        <v>0</v>
      </c>
      <c r="S432" s="138">
        <v>0</v>
      </c>
      <c r="T432" s="21">
        <v>112</v>
      </c>
      <c r="U432" s="37">
        <v>0</v>
      </c>
      <c r="V432" s="21">
        <v>0</v>
      </c>
      <c r="W432" s="1238" t="s">
        <v>1591</v>
      </c>
      <c r="X432" s="68" t="s">
        <v>866</v>
      </c>
      <c r="Y432" s="391" t="s">
        <v>305</v>
      </c>
      <c r="Z432" s="67" t="s">
        <v>829</v>
      </c>
      <c r="AA432" s="67" t="s">
        <v>829</v>
      </c>
    </row>
    <row r="433" spans="1:27" s="467" customFormat="1" ht="25.5" x14ac:dyDescent="0.25">
      <c r="A433" s="136" t="s">
        <v>1486</v>
      </c>
      <c r="B433" s="389" t="s">
        <v>1590</v>
      </c>
      <c r="C433" s="68">
        <v>2019</v>
      </c>
      <c r="D433" s="76" t="s">
        <v>1843</v>
      </c>
      <c r="E433" s="77" t="s">
        <v>440</v>
      </c>
      <c r="F433" s="77" t="s">
        <v>440</v>
      </c>
      <c r="G433" s="163" t="s">
        <v>1480</v>
      </c>
      <c r="H433" s="19">
        <v>2100</v>
      </c>
      <c r="I433" s="19">
        <v>0</v>
      </c>
      <c r="J433" s="1428">
        <v>2000</v>
      </c>
      <c r="K433" s="648">
        <v>2000</v>
      </c>
      <c r="L433" s="335">
        <v>0</v>
      </c>
      <c r="M433" s="37">
        <v>0</v>
      </c>
      <c r="N433" s="255">
        <v>0</v>
      </c>
      <c r="O433" s="20">
        <v>0</v>
      </c>
      <c r="P433" s="1749">
        <v>0</v>
      </c>
      <c r="Q433" s="587">
        <v>0</v>
      </c>
      <c r="R433" s="1719">
        <f t="shared" si="19"/>
        <v>0</v>
      </c>
      <c r="S433" s="138">
        <v>0</v>
      </c>
      <c r="T433" s="21">
        <v>100</v>
      </c>
      <c r="U433" s="37">
        <v>0</v>
      </c>
      <c r="V433" s="21">
        <v>0</v>
      </c>
      <c r="W433" s="1238" t="s">
        <v>1591</v>
      </c>
      <c r="X433" s="390" t="s">
        <v>866</v>
      </c>
      <c r="Y433" s="391" t="s">
        <v>305</v>
      </c>
      <c r="Z433" s="67" t="s">
        <v>829</v>
      </c>
      <c r="AA433" s="67" t="s">
        <v>829</v>
      </c>
    </row>
    <row r="434" spans="1:27" s="467" customFormat="1" ht="25.5" x14ac:dyDescent="0.25">
      <c r="A434" s="136" t="s">
        <v>1487</v>
      </c>
      <c r="B434" s="389" t="s">
        <v>1576</v>
      </c>
      <c r="C434" s="68">
        <v>2019</v>
      </c>
      <c r="D434" s="76" t="s">
        <v>1843</v>
      </c>
      <c r="E434" s="77" t="s">
        <v>1481</v>
      </c>
      <c r="F434" s="77" t="s">
        <v>1481</v>
      </c>
      <c r="G434" s="163" t="s">
        <v>1482</v>
      </c>
      <c r="H434" s="19">
        <f>3529.09-0.002</f>
        <v>3529.0880000000002</v>
      </c>
      <c r="I434" s="19">
        <v>0</v>
      </c>
      <c r="J434" s="1428">
        <v>2965.6179999999999</v>
      </c>
      <c r="K434" s="648">
        <v>2965.6179999999999</v>
      </c>
      <c r="L434" s="335">
        <v>0</v>
      </c>
      <c r="M434" s="37">
        <v>0</v>
      </c>
      <c r="N434" s="255">
        <v>0</v>
      </c>
      <c r="O434" s="20">
        <v>0</v>
      </c>
      <c r="P434" s="1749">
        <f>2965.618-2965.618</f>
        <v>0</v>
      </c>
      <c r="Q434" s="587">
        <v>0</v>
      </c>
      <c r="R434" s="1719">
        <f t="shared" si="19"/>
        <v>0</v>
      </c>
      <c r="S434" s="138">
        <v>0</v>
      </c>
      <c r="T434" s="21">
        <v>563.47</v>
      </c>
      <c r="U434" s="37">
        <v>0</v>
      </c>
      <c r="V434" s="21">
        <v>0</v>
      </c>
      <c r="W434" s="1239" t="s">
        <v>776</v>
      </c>
      <c r="X434" s="390" t="s">
        <v>866</v>
      </c>
      <c r="Y434" s="391" t="s">
        <v>305</v>
      </c>
      <c r="Z434" s="67" t="s">
        <v>829</v>
      </c>
      <c r="AA434" s="67" t="s">
        <v>829</v>
      </c>
    </row>
    <row r="435" spans="1:27" ht="18" customHeight="1" thickBot="1" x14ac:dyDescent="0.3">
      <c r="A435" s="132"/>
      <c r="B435" s="176"/>
      <c r="C435" s="133"/>
      <c r="D435" s="130"/>
      <c r="E435" s="595"/>
      <c r="F435" s="88"/>
      <c r="G435" s="596"/>
      <c r="H435" s="46"/>
      <c r="I435" s="46"/>
      <c r="J435" s="678"/>
      <c r="K435" s="250"/>
      <c r="L435" s="1540"/>
      <c r="M435" s="98"/>
      <c r="N435" s="251"/>
      <c r="O435" s="47"/>
      <c r="P435" s="1749"/>
      <c r="Q435" s="587"/>
      <c r="R435" s="1719"/>
      <c r="S435" s="567"/>
      <c r="T435" s="49"/>
      <c r="U435" s="98"/>
      <c r="V435" s="49"/>
      <c r="W435" s="583"/>
      <c r="X435" s="581"/>
      <c r="Y435" s="527"/>
      <c r="Z435" s="137"/>
      <c r="AA435" s="137"/>
    </row>
    <row r="436" spans="1:27" ht="35.25" customHeight="1" thickBot="1" x14ac:dyDescent="0.3">
      <c r="A436" s="1496" t="s">
        <v>776</v>
      </c>
      <c r="B436" s="1497" t="s">
        <v>776</v>
      </c>
      <c r="C436" s="151" t="s">
        <v>776</v>
      </c>
      <c r="D436" s="112" t="s">
        <v>776</v>
      </c>
      <c r="E436" s="497" t="s">
        <v>776</v>
      </c>
      <c r="F436" s="151" t="s">
        <v>776</v>
      </c>
      <c r="G436" s="499" t="s">
        <v>902</v>
      </c>
      <c r="H436" s="96">
        <f t="shared" ref="H436:V436" si="20">SUM(H403:H435)</f>
        <v>1764002.7749000001</v>
      </c>
      <c r="I436" s="96">
        <f t="shared" si="20"/>
        <v>582884.18449999997</v>
      </c>
      <c r="J436" s="96">
        <f>SUM(J403:J435)</f>
        <v>379942.90070999996</v>
      </c>
      <c r="K436" s="1406">
        <v>375294.98348999996</v>
      </c>
      <c r="L436" s="96">
        <f t="shared" si="20"/>
        <v>130032.46545</v>
      </c>
      <c r="M436" s="96">
        <f t="shared" si="20"/>
        <v>123487.51566999999</v>
      </c>
      <c r="N436" s="96">
        <f t="shared" si="20"/>
        <v>10987.514999999999</v>
      </c>
      <c r="O436" s="96">
        <f t="shared" si="20"/>
        <v>3917.8349999999987</v>
      </c>
      <c r="P436" s="363">
        <f t="shared" si="20"/>
        <v>269457.48614000005</v>
      </c>
      <c r="Q436" s="96">
        <f t="shared" si="20"/>
        <v>-1032.1550199999999</v>
      </c>
      <c r="R436" s="96">
        <f t="shared" si="20"/>
        <v>268425.33111999999</v>
      </c>
      <c r="S436" s="96">
        <f>SUM(S403:S435)</f>
        <v>0</v>
      </c>
      <c r="T436" s="96">
        <f>SUM(T403:T435)</f>
        <v>196449.95891999998</v>
      </c>
      <c r="U436" s="96">
        <f t="shared" si="20"/>
        <v>217459.99</v>
      </c>
      <c r="V436" s="96">
        <f t="shared" si="20"/>
        <v>123488.32686999999</v>
      </c>
      <c r="W436" s="128" t="s">
        <v>1925</v>
      </c>
      <c r="X436" s="97" t="s">
        <v>776</v>
      </c>
      <c r="Y436" s="681" t="s">
        <v>776</v>
      </c>
      <c r="Z436" s="97" t="s">
        <v>776</v>
      </c>
      <c r="AA436" s="102" t="s">
        <v>776</v>
      </c>
    </row>
    <row r="437" spans="1:27" ht="34.5" customHeight="1" x14ac:dyDescent="0.25">
      <c r="A437" s="85" t="s">
        <v>451</v>
      </c>
      <c r="B437" s="117" t="s">
        <v>452</v>
      </c>
      <c r="C437" s="4">
        <v>2014</v>
      </c>
      <c r="D437" s="4" t="s">
        <v>999</v>
      </c>
      <c r="E437" s="62" t="s">
        <v>12</v>
      </c>
      <c r="F437" s="90" t="s">
        <v>12</v>
      </c>
      <c r="G437" s="200" t="s">
        <v>453</v>
      </c>
      <c r="H437" s="1">
        <v>3978</v>
      </c>
      <c r="I437" s="1">
        <v>2047</v>
      </c>
      <c r="J437" s="1405">
        <v>0</v>
      </c>
      <c r="K437" s="246">
        <v>0</v>
      </c>
      <c r="L437" s="1552">
        <v>0</v>
      </c>
      <c r="M437" s="265">
        <v>0</v>
      </c>
      <c r="N437" s="662">
        <v>1931</v>
      </c>
      <c r="O437" s="264">
        <v>0</v>
      </c>
      <c r="P437" s="1872">
        <v>1931</v>
      </c>
      <c r="Q437" s="1873">
        <v>0</v>
      </c>
      <c r="R437" s="1715">
        <f t="shared" ref="R437:R439" si="21">P437+Q437</f>
        <v>1931</v>
      </c>
      <c r="S437" s="264">
        <v>0</v>
      </c>
      <c r="T437" s="612">
        <v>0</v>
      </c>
      <c r="U437" s="31">
        <v>0</v>
      </c>
      <c r="V437" s="31">
        <v>0</v>
      </c>
      <c r="W437" s="62" t="s">
        <v>976</v>
      </c>
      <c r="X437" s="209" t="s">
        <v>46</v>
      </c>
      <c r="Y437" s="627" t="s">
        <v>310</v>
      </c>
      <c r="Z437" s="628" t="s">
        <v>829</v>
      </c>
      <c r="AA437" s="628" t="s">
        <v>829</v>
      </c>
    </row>
    <row r="438" spans="1:27" s="470" customFormat="1" ht="36.75" customHeight="1" x14ac:dyDescent="0.25">
      <c r="A438" s="763" t="s">
        <v>454</v>
      </c>
      <c r="B438" s="850" t="s">
        <v>455</v>
      </c>
      <c r="C438" s="553">
        <v>2017</v>
      </c>
      <c r="D438" s="553" t="s">
        <v>998</v>
      </c>
      <c r="E438" s="851" t="s">
        <v>456</v>
      </c>
      <c r="F438" s="1140" t="s">
        <v>456</v>
      </c>
      <c r="G438" s="1139" t="s">
        <v>457</v>
      </c>
      <c r="H438" s="767">
        <v>7615</v>
      </c>
      <c r="I438" s="767">
        <v>212</v>
      </c>
      <c r="J438" s="767">
        <v>4834</v>
      </c>
      <c r="K438" s="853">
        <f>2196.53979+1164.9033+88.33+595.32</f>
        <v>4045.0930899999998</v>
      </c>
      <c r="L438" s="1536">
        <f>4834-2196.53979-1848.5533</f>
        <v>788.90691000000015</v>
      </c>
      <c r="M438" s="991">
        <v>1500</v>
      </c>
      <c r="N438" s="923">
        <v>500</v>
      </c>
      <c r="O438" s="993">
        <v>569</v>
      </c>
      <c r="P438" s="1735">
        <f>7403-2196.53979-1848.5533</f>
        <v>3357.9069100000002</v>
      </c>
      <c r="Q438" s="1810">
        <v>0</v>
      </c>
      <c r="R438" s="1466">
        <f t="shared" si="21"/>
        <v>3357.9069100000002</v>
      </c>
      <c r="S438" s="993">
        <v>0</v>
      </c>
      <c r="T438" s="992">
        <v>0</v>
      </c>
      <c r="U438" s="992">
        <v>0</v>
      </c>
      <c r="V438" s="992">
        <v>0</v>
      </c>
      <c r="W438" s="851" t="s">
        <v>1960</v>
      </c>
      <c r="X438" s="550" t="s">
        <v>14</v>
      </c>
      <c r="Y438" s="1141" t="s">
        <v>310</v>
      </c>
      <c r="Z438" s="1142" t="s">
        <v>829</v>
      </c>
      <c r="AA438" s="1142" t="s">
        <v>829</v>
      </c>
    </row>
    <row r="439" spans="1:27" ht="34.5" customHeight="1" x14ac:dyDescent="0.25">
      <c r="A439" s="64" t="s">
        <v>458</v>
      </c>
      <c r="B439" s="87" t="s">
        <v>459</v>
      </c>
      <c r="C439" s="5">
        <v>2018</v>
      </c>
      <c r="D439" s="5" t="s">
        <v>257</v>
      </c>
      <c r="E439" s="65" t="s">
        <v>12</v>
      </c>
      <c r="F439" s="113" t="s">
        <v>12</v>
      </c>
      <c r="G439" s="158" t="s">
        <v>460</v>
      </c>
      <c r="H439" s="14">
        <v>1500</v>
      </c>
      <c r="I439" s="14">
        <v>0</v>
      </c>
      <c r="J439" s="677">
        <v>0</v>
      </c>
      <c r="K439" s="181">
        <v>0</v>
      </c>
      <c r="L439" s="1547">
        <v>0</v>
      </c>
      <c r="M439" s="274">
        <v>1500</v>
      </c>
      <c r="N439" s="248">
        <v>0</v>
      </c>
      <c r="O439" s="30">
        <v>0</v>
      </c>
      <c r="P439" s="1806">
        <v>1500</v>
      </c>
      <c r="Q439" s="1807">
        <v>0</v>
      </c>
      <c r="R439" s="1715">
        <f t="shared" si="21"/>
        <v>1500</v>
      </c>
      <c r="S439" s="30">
        <v>0</v>
      </c>
      <c r="T439" s="29">
        <v>0</v>
      </c>
      <c r="U439" s="29">
        <v>0</v>
      </c>
      <c r="V439" s="29">
        <v>0</v>
      </c>
      <c r="W439" s="65" t="s">
        <v>776</v>
      </c>
      <c r="X439" s="5" t="s">
        <v>20</v>
      </c>
      <c r="Y439" s="629" t="s">
        <v>883</v>
      </c>
      <c r="Z439" s="210" t="s">
        <v>828</v>
      </c>
      <c r="AA439" s="210" t="s">
        <v>828</v>
      </c>
    </row>
    <row r="440" spans="1:27" ht="18" customHeight="1" thickBot="1" x14ac:dyDescent="0.3">
      <c r="A440" s="175"/>
      <c r="B440" s="218"/>
      <c r="C440" s="56"/>
      <c r="D440" s="56"/>
      <c r="E440" s="496"/>
      <c r="F440" s="91"/>
      <c r="G440" s="501"/>
      <c r="H440" s="178"/>
      <c r="I440" s="178"/>
      <c r="J440" s="678"/>
      <c r="K440" s="250"/>
      <c r="L440" s="679"/>
      <c r="M440" s="661"/>
      <c r="N440" s="663"/>
      <c r="O440" s="179"/>
      <c r="P440" s="1749"/>
      <c r="Q440" s="587"/>
      <c r="R440" s="1719"/>
      <c r="S440" s="179"/>
      <c r="T440" s="432"/>
      <c r="U440" s="432"/>
      <c r="V440" s="314"/>
      <c r="W440" s="88"/>
      <c r="X440" s="9"/>
      <c r="Y440" s="259"/>
      <c r="Z440" s="298"/>
      <c r="AA440" s="298"/>
    </row>
    <row r="441" spans="1:27" ht="35.25" customHeight="1" thickBot="1" x14ac:dyDescent="0.3">
      <c r="A441" s="1496" t="s">
        <v>776</v>
      </c>
      <c r="B441" s="1497" t="s">
        <v>776</v>
      </c>
      <c r="C441" s="151" t="s">
        <v>776</v>
      </c>
      <c r="D441" s="112" t="s">
        <v>776</v>
      </c>
      <c r="E441" s="497" t="s">
        <v>776</v>
      </c>
      <c r="F441" s="151" t="s">
        <v>776</v>
      </c>
      <c r="G441" s="499" t="s">
        <v>901</v>
      </c>
      <c r="H441" s="96">
        <f t="shared" ref="H441:V441" si="22">SUM(H437:H440)</f>
        <v>13093</v>
      </c>
      <c r="I441" s="96">
        <f t="shared" si="22"/>
        <v>2259</v>
      </c>
      <c r="J441" s="96">
        <f>SUM(J437:J440)</f>
        <v>4834</v>
      </c>
      <c r="K441" s="96">
        <f t="shared" ref="K441:N441" si="23">SUM(K437:K440)</f>
        <v>4045.0930899999998</v>
      </c>
      <c r="L441" s="96">
        <f t="shared" si="23"/>
        <v>788.90691000000015</v>
      </c>
      <c r="M441" s="96">
        <f t="shared" si="23"/>
        <v>3000</v>
      </c>
      <c r="N441" s="96">
        <f t="shared" si="23"/>
        <v>2431</v>
      </c>
      <c r="O441" s="96">
        <f t="shared" si="22"/>
        <v>569</v>
      </c>
      <c r="P441" s="1406">
        <f t="shared" si="22"/>
        <v>6788.9069099999997</v>
      </c>
      <c r="Q441" s="364">
        <f t="shared" si="22"/>
        <v>0</v>
      </c>
      <c r="R441" s="364">
        <f t="shared" si="22"/>
        <v>6788.9069099999997</v>
      </c>
      <c r="S441" s="364">
        <f>SUM(S437:S440)</f>
        <v>0</v>
      </c>
      <c r="T441" s="364">
        <f>SUM(T437:T440)</f>
        <v>0</v>
      </c>
      <c r="U441" s="364">
        <f t="shared" si="22"/>
        <v>0</v>
      </c>
      <c r="V441" s="96">
        <f t="shared" si="22"/>
        <v>0</v>
      </c>
      <c r="W441" s="128" t="s">
        <v>1926</v>
      </c>
      <c r="X441" s="97" t="s">
        <v>776</v>
      </c>
      <c r="Y441" s="681" t="s">
        <v>776</v>
      </c>
      <c r="Z441" s="97" t="s">
        <v>776</v>
      </c>
      <c r="AA441" s="102" t="s">
        <v>776</v>
      </c>
    </row>
    <row r="442" spans="1:27" ht="47.25" customHeight="1" x14ac:dyDescent="0.25">
      <c r="A442" s="111" t="s">
        <v>461</v>
      </c>
      <c r="B442" s="93" t="s">
        <v>462</v>
      </c>
      <c r="C442" s="55">
        <v>2017</v>
      </c>
      <c r="D442" s="55" t="s">
        <v>997</v>
      </c>
      <c r="E442" s="114" t="s">
        <v>463</v>
      </c>
      <c r="F442" s="89" t="s">
        <v>463</v>
      </c>
      <c r="G442" s="630" t="s">
        <v>464</v>
      </c>
      <c r="H442" s="50">
        <v>550</v>
      </c>
      <c r="I442" s="50">
        <v>397.09199999999998</v>
      </c>
      <c r="J442" s="1405">
        <v>0</v>
      </c>
      <c r="K442" s="246">
        <v>0</v>
      </c>
      <c r="L442" s="332">
        <v>0</v>
      </c>
      <c r="M442" s="99">
        <v>152.90799999999999</v>
      </c>
      <c r="N442" s="333">
        <v>0</v>
      </c>
      <c r="O442" s="12">
        <v>0</v>
      </c>
      <c r="P442" s="1743">
        <v>152.90799999999999</v>
      </c>
      <c r="Q442" s="1784">
        <v>0</v>
      </c>
      <c r="R442" s="1715">
        <f t="shared" ref="R442" si="24">P442+Q442</f>
        <v>152.90799999999999</v>
      </c>
      <c r="S442" s="12">
        <v>0</v>
      </c>
      <c r="T442" s="13">
        <v>0</v>
      </c>
      <c r="U442" s="13">
        <v>0</v>
      </c>
      <c r="V442" s="13">
        <v>0</v>
      </c>
      <c r="W442" s="55" t="s">
        <v>776</v>
      </c>
      <c r="X442" s="131" t="s">
        <v>46</v>
      </c>
      <c r="Y442" s="235" t="s">
        <v>845</v>
      </c>
      <c r="Z442" s="107" t="s">
        <v>791</v>
      </c>
      <c r="AA442" s="107" t="s">
        <v>829</v>
      </c>
    </row>
    <row r="443" spans="1:27" ht="18" customHeight="1" thickBot="1" x14ac:dyDescent="0.3">
      <c r="A443" s="132"/>
      <c r="B443" s="135"/>
      <c r="C443" s="133"/>
      <c r="D443" s="133"/>
      <c r="E443" s="597"/>
      <c r="F443" s="88"/>
      <c r="G443" s="596"/>
      <c r="H443" s="46"/>
      <c r="I443" s="178"/>
      <c r="J443" s="678"/>
      <c r="K443" s="250"/>
      <c r="L443" s="48"/>
      <c r="M443" s="251"/>
      <c r="N443" s="251"/>
      <c r="O443" s="47"/>
      <c r="P443" s="1749"/>
      <c r="Q443" s="587"/>
      <c r="R443" s="1719"/>
      <c r="S443" s="47"/>
      <c r="T443" s="49"/>
      <c r="U443" s="49"/>
      <c r="V443" s="47"/>
      <c r="W443" s="130"/>
      <c r="X443" s="133"/>
      <c r="Y443" s="233"/>
      <c r="Z443" s="137"/>
      <c r="AA443" s="137"/>
    </row>
    <row r="444" spans="1:27" ht="35.25" customHeight="1" thickBot="1" x14ac:dyDescent="0.3">
      <c r="A444" s="1496" t="s">
        <v>776</v>
      </c>
      <c r="B444" s="1497" t="s">
        <v>776</v>
      </c>
      <c r="C444" s="151" t="s">
        <v>776</v>
      </c>
      <c r="D444" s="112" t="s">
        <v>776</v>
      </c>
      <c r="E444" s="497" t="s">
        <v>776</v>
      </c>
      <c r="F444" s="151" t="s">
        <v>776</v>
      </c>
      <c r="G444" s="499" t="s">
        <v>900</v>
      </c>
      <c r="H444" s="96">
        <f t="shared" ref="H444:V444" si="25">SUM(H442:H443)</f>
        <v>550</v>
      </c>
      <c r="I444" s="96">
        <f t="shared" si="25"/>
        <v>397.09199999999998</v>
      </c>
      <c r="J444" s="96">
        <f>SUM(J442:J443)</f>
        <v>0</v>
      </c>
      <c r="K444" s="1406">
        <v>0</v>
      </c>
      <c r="L444" s="364">
        <f t="shared" si="25"/>
        <v>0</v>
      </c>
      <c r="M444" s="364">
        <f t="shared" si="25"/>
        <v>152.90799999999999</v>
      </c>
      <c r="N444" s="364">
        <f t="shared" si="25"/>
        <v>0</v>
      </c>
      <c r="O444" s="96">
        <f t="shared" si="25"/>
        <v>0</v>
      </c>
      <c r="P444" s="1406">
        <f t="shared" si="25"/>
        <v>152.90799999999999</v>
      </c>
      <c r="Q444" s="364">
        <f t="shared" si="25"/>
        <v>0</v>
      </c>
      <c r="R444" s="364">
        <f t="shared" si="25"/>
        <v>152.90799999999999</v>
      </c>
      <c r="S444" s="364">
        <f>SUM(S442:S443)</f>
        <v>0</v>
      </c>
      <c r="T444" s="364">
        <f>SUM(T442:T443)</f>
        <v>0</v>
      </c>
      <c r="U444" s="364">
        <f t="shared" si="25"/>
        <v>0</v>
      </c>
      <c r="V444" s="96">
        <f t="shared" si="25"/>
        <v>0</v>
      </c>
      <c r="W444" s="97" t="s">
        <v>1927</v>
      </c>
      <c r="X444" s="97" t="s">
        <v>776</v>
      </c>
      <c r="Y444" s="681" t="s">
        <v>776</v>
      </c>
      <c r="Z444" s="97" t="s">
        <v>776</v>
      </c>
      <c r="AA444" s="102" t="s">
        <v>776</v>
      </c>
    </row>
    <row r="445" spans="1:27" ht="45" x14ac:dyDescent="0.25">
      <c r="A445" s="1135" t="s">
        <v>910</v>
      </c>
      <c r="B445" s="749" t="s">
        <v>465</v>
      </c>
      <c r="C445" s="906">
        <v>2017</v>
      </c>
      <c r="D445" s="906" t="s">
        <v>996</v>
      </c>
      <c r="E445" s="1136" t="s">
        <v>12</v>
      </c>
      <c r="F445" s="750" t="s">
        <v>12</v>
      </c>
      <c r="G445" s="1137" t="s">
        <v>1426</v>
      </c>
      <c r="H445" s="752">
        <v>8610.36</v>
      </c>
      <c r="I445" s="752">
        <v>0</v>
      </c>
      <c r="J445" s="751">
        <v>7400</v>
      </c>
      <c r="K445" s="862">
        <v>3944.6</v>
      </c>
      <c r="L445" s="1572">
        <v>1815</v>
      </c>
      <c r="M445" s="885">
        <v>358.16</v>
      </c>
      <c r="N445" s="863">
        <v>0</v>
      </c>
      <c r="O445" s="864">
        <v>2492.6</v>
      </c>
      <c r="P445" s="1789">
        <f>4665.4+0.36</f>
        <v>4665.7599999999993</v>
      </c>
      <c r="Q445" s="1874">
        <v>0</v>
      </c>
      <c r="R445" s="1466">
        <f>P445+Q445</f>
        <v>4665.7599999999993</v>
      </c>
      <c r="S445" s="758">
        <v>0</v>
      </c>
      <c r="T445" s="1138">
        <v>0</v>
      </c>
      <c r="U445" s="885">
        <v>0</v>
      </c>
      <c r="V445" s="1632">
        <v>0</v>
      </c>
      <c r="W445" s="1633" t="s">
        <v>1961</v>
      </c>
      <c r="X445" s="840" t="s">
        <v>46</v>
      </c>
      <c r="Y445" s="865" t="s">
        <v>310</v>
      </c>
      <c r="Z445" s="761" t="s">
        <v>829</v>
      </c>
      <c r="AA445" s="761" t="s">
        <v>829</v>
      </c>
    </row>
    <row r="446" spans="1:27" ht="48" customHeight="1" x14ac:dyDescent="0.25">
      <c r="A446" s="849" t="s">
        <v>911</v>
      </c>
      <c r="B446" s="850" t="s">
        <v>723</v>
      </c>
      <c r="C446" s="553">
        <v>2018</v>
      </c>
      <c r="D446" s="553" t="s">
        <v>806</v>
      </c>
      <c r="E446" s="851" t="s">
        <v>12</v>
      </c>
      <c r="F446" s="851" t="s">
        <v>12</v>
      </c>
      <c r="G446" s="1139" t="s">
        <v>466</v>
      </c>
      <c r="H446" s="767">
        <v>7871</v>
      </c>
      <c r="I446" s="767">
        <v>0</v>
      </c>
      <c r="J446" s="767">
        <v>0</v>
      </c>
      <c r="K446" s="853">
        <v>0</v>
      </c>
      <c r="L446" s="1524">
        <v>0</v>
      </c>
      <c r="M446" s="756">
        <v>3000</v>
      </c>
      <c r="N446" s="841">
        <v>0</v>
      </c>
      <c r="O446" s="857">
        <v>0</v>
      </c>
      <c r="P446" s="770">
        <v>7871</v>
      </c>
      <c r="Q446" s="1144">
        <v>-4871</v>
      </c>
      <c r="R446" s="1466">
        <f>P446+Q446</f>
        <v>3000</v>
      </c>
      <c r="S446" s="770">
        <v>0</v>
      </c>
      <c r="T446" s="855">
        <v>0</v>
      </c>
      <c r="U446" s="756">
        <v>4871</v>
      </c>
      <c r="V446" s="777">
        <v>0</v>
      </c>
      <c r="W446" s="553" t="s">
        <v>1585</v>
      </c>
      <c r="X446" s="435" t="s">
        <v>20</v>
      </c>
      <c r="Y446" s="775" t="s">
        <v>883</v>
      </c>
      <c r="Z446" s="774" t="s">
        <v>828</v>
      </c>
      <c r="AA446" s="774" t="s">
        <v>828</v>
      </c>
    </row>
    <row r="447" spans="1:27" ht="18" customHeight="1" thickBot="1" x14ac:dyDescent="0.3">
      <c r="A447" s="175"/>
      <c r="B447" s="218"/>
      <c r="C447" s="56"/>
      <c r="D447" s="56"/>
      <c r="E447" s="496"/>
      <c r="F447" s="91"/>
      <c r="G447" s="501"/>
      <c r="H447" s="178"/>
      <c r="I447" s="178"/>
      <c r="J447" s="678"/>
      <c r="K447" s="250"/>
      <c r="L447" s="180"/>
      <c r="M447" s="251"/>
      <c r="N447" s="388"/>
      <c r="O447" s="8"/>
      <c r="P447" s="1749"/>
      <c r="Q447" s="587"/>
      <c r="R447" s="1719"/>
      <c r="S447" s="223"/>
      <c r="T447" s="7"/>
      <c r="U447" s="216"/>
      <c r="V447" s="180"/>
      <c r="W447" s="56"/>
      <c r="X447" s="192"/>
      <c r="Y447" s="234"/>
      <c r="Z447" s="137"/>
      <c r="AA447" s="137"/>
    </row>
    <row r="448" spans="1:27" ht="35.25" customHeight="1" thickBot="1" x14ac:dyDescent="0.3">
      <c r="A448" s="1496" t="s">
        <v>776</v>
      </c>
      <c r="B448" s="1497" t="s">
        <v>776</v>
      </c>
      <c r="C448" s="151" t="s">
        <v>776</v>
      </c>
      <c r="D448" s="112" t="s">
        <v>776</v>
      </c>
      <c r="E448" s="497" t="s">
        <v>776</v>
      </c>
      <c r="F448" s="151" t="s">
        <v>776</v>
      </c>
      <c r="G448" s="499" t="s">
        <v>899</v>
      </c>
      <c r="H448" s="96">
        <f t="shared" ref="H448:V448" si="26">SUM(H445:H447)</f>
        <v>16481.36</v>
      </c>
      <c r="I448" s="96">
        <f t="shared" si="26"/>
        <v>0</v>
      </c>
      <c r="J448" s="96">
        <f>SUM(J445:J447)</f>
        <v>7400</v>
      </c>
      <c r="K448" s="1406">
        <v>3944.6</v>
      </c>
      <c r="L448" s="364">
        <f t="shared" si="26"/>
        <v>1815</v>
      </c>
      <c r="M448" s="364">
        <f t="shared" si="26"/>
        <v>3358.16</v>
      </c>
      <c r="N448" s="364">
        <f t="shared" si="26"/>
        <v>0</v>
      </c>
      <c r="O448" s="96">
        <f t="shared" si="26"/>
        <v>2492.6</v>
      </c>
      <c r="P448" s="1406">
        <f t="shared" si="26"/>
        <v>12536.759999999998</v>
      </c>
      <c r="Q448" s="364">
        <f t="shared" si="26"/>
        <v>-4871</v>
      </c>
      <c r="R448" s="364">
        <f t="shared" si="26"/>
        <v>7665.7599999999993</v>
      </c>
      <c r="S448" s="364">
        <f>SUM(S445:S447)</f>
        <v>0</v>
      </c>
      <c r="T448" s="364">
        <f>SUM(T445:T447)</f>
        <v>0</v>
      </c>
      <c r="U448" s="364">
        <f t="shared" si="26"/>
        <v>4871</v>
      </c>
      <c r="V448" s="96">
        <f t="shared" si="26"/>
        <v>0</v>
      </c>
      <c r="W448" s="97" t="s">
        <v>1928</v>
      </c>
      <c r="X448" s="97" t="s">
        <v>776</v>
      </c>
      <c r="Y448" s="681" t="s">
        <v>776</v>
      </c>
      <c r="Z448" s="97" t="s">
        <v>776</v>
      </c>
      <c r="AA448" s="102" t="s">
        <v>776</v>
      </c>
    </row>
    <row r="449" spans="1:27" s="464" customFormat="1" ht="30" x14ac:dyDescent="0.25">
      <c r="A449" s="301" t="s">
        <v>467</v>
      </c>
      <c r="B449" s="343" t="s">
        <v>468</v>
      </c>
      <c r="C449" s="344">
        <v>2017</v>
      </c>
      <c r="D449" s="76" t="s">
        <v>996</v>
      </c>
      <c r="E449" s="345" t="s">
        <v>469</v>
      </c>
      <c r="F449" s="345" t="s">
        <v>469</v>
      </c>
      <c r="G449" s="949" t="s">
        <v>470</v>
      </c>
      <c r="H449" s="346">
        <f>6898.6798</f>
        <v>6898.6797999999999</v>
      </c>
      <c r="I449" s="346">
        <v>3391.8398999999999</v>
      </c>
      <c r="J449" s="1452">
        <v>3506.8404599999999</v>
      </c>
      <c r="K449" s="473">
        <v>3506.8398999999999</v>
      </c>
      <c r="L449" s="337">
        <v>0</v>
      </c>
      <c r="M449" s="338">
        <v>0</v>
      </c>
      <c r="N449" s="665">
        <v>0</v>
      </c>
      <c r="O449" s="348">
        <v>0</v>
      </c>
      <c r="P449" s="1875">
        <v>0</v>
      </c>
      <c r="Q449" s="1876">
        <v>0</v>
      </c>
      <c r="R449" s="1719">
        <f t="shared" ref="R449:R512" si="27">P449+Q449</f>
        <v>0</v>
      </c>
      <c r="S449" s="348">
        <v>0</v>
      </c>
      <c r="T449" s="295">
        <v>0</v>
      </c>
      <c r="U449" s="348">
        <v>0</v>
      </c>
      <c r="V449" s="348">
        <v>0</v>
      </c>
      <c r="W449" s="76" t="s">
        <v>776</v>
      </c>
      <c r="X449" s="344" t="s">
        <v>866</v>
      </c>
      <c r="Y449" s="950" t="s">
        <v>883</v>
      </c>
      <c r="Z449" s="748" t="s">
        <v>829</v>
      </c>
      <c r="AA449" s="748" t="s">
        <v>829</v>
      </c>
    </row>
    <row r="450" spans="1:27" ht="30" x14ac:dyDescent="0.25">
      <c r="A450" s="266" t="s">
        <v>472</v>
      </c>
      <c r="B450" s="261" t="s">
        <v>473</v>
      </c>
      <c r="C450" s="209">
        <v>2017</v>
      </c>
      <c r="D450" s="4" t="s">
        <v>996</v>
      </c>
      <c r="E450" s="267" t="s">
        <v>474</v>
      </c>
      <c r="F450" s="267" t="s">
        <v>474</v>
      </c>
      <c r="G450" s="547" t="s">
        <v>475</v>
      </c>
      <c r="H450" s="263">
        <v>7900</v>
      </c>
      <c r="I450" s="263">
        <v>0</v>
      </c>
      <c r="J450" s="677">
        <v>0</v>
      </c>
      <c r="K450" s="181">
        <v>0</v>
      </c>
      <c r="L450" s="1558">
        <v>0</v>
      </c>
      <c r="M450" s="265">
        <v>0</v>
      </c>
      <c r="N450" s="662">
        <v>0</v>
      </c>
      <c r="O450" s="264">
        <v>0</v>
      </c>
      <c r="P450" s="1872">
        <v>0</v>
      </c>
      <c r="Q450" s="1877">
        <v>0</v>
      </c>
      <c r="R450" s="1715">
        <f t="shared" si="27"/>
        <v>0</v>
      </c>
      <c r="S450" s="264">
        <v>0</v>
      </c>
      <c r="T450" s="31">
        <v>0</v>
      </c>
      <c r="U450" s="264">
        <v>7900</v>
      </c>
      <c r="V450" s="264">
        <v>0</v>
      </c>
      <c r="W450" s="269" t="s">
        <v>924</v>
      </c>
      <c r="X450" s="270" t="s">
        <v>14</v>
      </c>
      <c r="Y450" s="271" t="s">
        <v>925</v>
      </c>
      <c r="Z450" s="195" t="s">
        <v>828</v>
      </c>
      <c r="AA450" s="195" t="s">
        <v>828</v>
      </c>
    </row>
    <row r="451" spans="1:27" ht="25.5" x14ac:dyDescent="0.25">
      <c r="A451" s="266" t="s">
        <v>476</v>
      </c>
      <c r="B451" s="261" t="s">
        <v>477</v>
      </c>
      <c r="C451" s="209">
        <v>2017</v>
      </c>
      <c r="D451" s="4" t="s">
        <v>996</v>
      </c>
      <c r="E451" s="273" t="s">
        <v>966</v>
      </c>
      <c r="F451" s="273" t="s">
        <v>966</v>
      </c>
      <c r="G451" s="548" t="s">
        <v>478</v>
      </c>
      <c r="H451" s="263">
        <v>3300</v>
      </c>
      <c r="I451" s="263">
        <v>0</v>
      </c>
      <c r="J451" s="677">
        <v>0</v>
      </c>
      <c r="K451" s="181">
        <v>0</v>
      </c>
      <c r="L451" s="1558">
        <v>0</v>
      </c>
      <c r="M451" s="265">
        <v>2700</v>
      </c>
      <c r="N451" s="662">
        <v>0</v>
      </c>
      <c r="O451" s="264">
        <v>0</v>
      </c>
      <c r="P451" s="1872">
        <v>2700</v>
      </c>
      <c r="Q451" s="1877">
        <v>0</v>
      </c>
      <c r="R451" s="1715">
        <f t="shared" si="27"/>
        <v>2700</v>
      </c>
      <c r="S451" s="264">
        <v>600</v>
      </c>
      <c r="T451" s="31">
        <v>0</v>
      </c>
      <c r="U451" s="264">
        <v>0</v>
      </c>
      <c r="V451" s="264">
        <v>0</v>
      </c>
      <c r="W451" s="53" t="s">
        <v>776</v>
      </c>
      <c r="X451" s="270" t="s">
        <v>20</v>
      </c>
      <c r="Y451" s="271" t="s">
        <v>883</v>
      </c>
      <c r="Z451" s="195" t="s">
        <v>828</v>
      </c>
      <c r="AA451" s="195" t="s">
        <v>828</v>
      </c>
    </row>
    <row r="452" spans="1:27" ht="25.5" x14ac:dyDescent="0.25">
      <c r="A452" s="266" t="s">
        <v>480</v>
      </c>
      <c r="B452" s="261" t="s">
        <v>481</v>
      </c>
      <c r="C452" s="209">
        <v>2017</v>
      </c>
      <c r="D452" s="4" t="s">
        <v>995</v>
      </c>
      <c r="E452" s="262" t="s">
        <v>967</v>
      </c>
      <c r="F452" s="262" t="s">
        <v>967</v>
      </c>
      <c r="G452" s="546" t="s">
        <v>482</v>
      </c>
      <c r="H452" s="263">
        <v>14000</v>
      </c>
      <c r="I452" s="263">
        <v>0</v>
      </c>
      <c r="J452" s="677">
        <v>0</v>
      </c>
      <c r="K452" s="181">
        <v>0</v>
      </c>
      <c r="L452" s="1558">
        <v>0</v>
      </c>
      <c r="M452" s="265">
        <v>0</v>
      </c>
      <c r="N452" s="662">
        <v>0</v>
      </c>
      <c r="O452" s="264">
        <v>0</v>
      </c>
      <c r="P452" s="1872">
        <v>0</v>
      </c>
      <c r="Q452" s="1877">
        <v>0</v>
      </c>
      <c r="R452" s="1715">
        <f t="shared" si="27"/>
        <v>0</v>
      </c>
      <c r="S452" s="264">
        <v>0</v>
      </c>
      <c r="T452" s="31">
        <v>0</v>
      </c>
      <c r="U452" s="264">
        <v>14000</v>
      </c>
      <c r="V452" s="264">
        <v>0</v>
      </c>
      <c r="W452" s="270" t="s">
        <v>776</v>
      </c>
      <c r="X452" s="270" t="s">
        <v>20</v>
      </c>
      <c r="Y452" s="271" t="s">
        <v>722</v>
      </c>
      <c r="Z452" s="195" t="s">
        <v>828</v>
      </c>
      <c r="AA452" s="195" t="s">
        <v>828</v>
      </c>
    </row>
    <row r="453" spans="1:27" s="464" customFormat="1" ht="25.5" x14ac:dyDescent="0.25">
      <c r="A453" s="302" t="s">
        <v>483</v>
      </c>
      <c r="B453" s="343" t="s">
        <v>484</v>
      </c>
      <c r="C453" s="344">
        <v>2017</v>
      </c>
      <c r="D453" s="76" t="s">
        <v>995</v>
      </c>
      <c r="E453" s="345" t="s">
        <v>485</v>
      </c>
      <c r="F453" s="345" t="s">
        <v>485</v>
      </c>
      <c r="G453" s="549" t="s">
        <v>486</v>
      </c>
      <c r="H453" s="346">
        <v>2723.4592400000001</v>
      </c>
      <c r="I453" s="346">
        <v>678.81</v>
      </c>
      <c r="J453" s="1428">
        <v>2044.6492399999997</v>
      </c>
      <c r="K453" s="422">
        <v>2044.64924</v>
      </c>
      <c r="L453" s="1546">
        <v>0</v>
      </c>
      <c r="M453" s="347">
        <v>0</v>
      </c>
      <c r="N453" s="665">
        <v>0</v>
      </c>
      <c r="O453" s="348">
        <v>0</v>
      </c>
      <c r="P453" s="1875">
        <v>0</v>
      </c>
      <c r="Q453" s="1876">
        <v>0</v>
      </c>
      <c r="R453" s="1719">
        <f t="shared" si="27"/>
        <v>0</v>
      </c>
      <c r="S453" s="348">
        <v>0</v>
      </c>
      <c r="T453" s="295">
        <v>0</v>
      </c>
      <c r="U453" s="348">
        <v>0</v>
      </c>
      <c r="V453" s="348">
        <v>0</v>
      </c>
      <c r="W453" s="349" t="s">
        <v>776</v>
      </c>
      <c r="X453" s="303" t="s">
        <v>866</v>
      </c>
      <c r="Y453" s="322" t="s">
        <v>650</v>
      </c>
      <c r="Z453" s="198" t="s">
        <v>829</v>
      </c>
      <c r="AA453" s="198" t="s">
        <v>829</v>
      </c>
    </row>
    <row r="454" spans="1:27" s="467" customFormat="1" ht="25.5" x14ac:dyDescent="0.25">
      <c r="A454" s="302" t="s">
        <v>487</v>
      </c>
      <c r="B454" s="343" t="s">
        <v>488</v>
      </c>
      <c r="C454" s="344">
        <v>2017</v>
      </c>
      <c r="D454" s="76" t="s">
        <v>995</v>
      </c>
      <c r="E454" s="345" t="s">
        <v>965</v>
      </c>
      <c r="F454" s="345" t="s">
        <v>965</v>
      </c>
      <c r="G454" s="549" t="s">
        <v>489</v>
      </c>
      <c r="H454" s="346">
        <v>112.7</v>
      </c>
      <c r="I454" s="346">
        <v>0</v>
      </c>
      <c r="J454" s="1428">
        <v>113</v>
      </c>
      <c r="K454" s="422">
        <v>112.7</v>
      </c>
      <c r="L454" s="1546">
        <v>0</v>
      </c>
      <c r="M454" s="347">
        <v>0</v>
      </c>
      <c r="N454" s="665">
        <v>0</v>
      </c>
      <c r="O454" s="348">
        <v>0</v>
      </c>
      <c r="P454" s="1875">
        <v>0</v>
      </c>
      <c r="Q454" s="1876">
        <v>0</v>
      </c>
      <c r="R454" s="1719">
        <f t="shared" si="27"/>
        <v>0</v>
      </c>
      <c r="S454" s="348">
        <v>0</v>
      </c>
      <c r="T454" s="295">
        <v>0</v>
      </c>
      <c r="U454" s="348">
        <v>0</v>
      </c>
      <c r="V454" s="348">
        <v>0</v>
      </c>
      <c r="W454" s="349" t="s">
        <v>776</v>
      </c>
      <c r="X454" s="303" t="s">
        <v>866</v>
      </c>
      <c r="Y454" s="322" t="s">
        <v>21</v>
      </c>
      <c r="Z454" s="198" t="s">
        <v>829</v>
      </c>
      <c r="AA454" s="198" t="s">
        <v>829</v>
      </c>
    </row>
    <row r="455" spans="1:27" s="467" customFormat="1" ht="25.5" x14ac:dyDescent="0.25">
      <c r="A455" s="302" t="s">
        <v>490</v>
      </c>
      <c r="B455" s="343" t="s">
        <v>491</v>
      </c>
      <c r="C455" s="344">
        <v>2017</v>
      </c>
      <c r="D455" s="76" t="s">
        <v>995</v>
      </c>
      <c r="E455" s="345" t="s">
        <v>965</v>
      </c>
      <c r="F455" s="345" t="s">
        <v>965</v>
      </c>
      <c r="G455" s="549" t="s">
        <v>492</v>
      </c>
      <c r="H455" s="346">
        <v>74.75</v>
      </c>
      <c r="I455" s="346">
        <v>0</v>
      </c>
      <c r="J455" s="1428">
        <v>75</v>
      </c>
      <c r="K455" s="422">
        <v>74.75</v>
      </c>
      <c r="L455" s="1546">
        <v>0</v>
      </c>
      <c r="M455" s="347">
        <v>0</v>
      </c>
      <c r="N455" s="665">
        <v>0</v>
      </c>
      <c r="O455" s="348">
        <v>0</v>
      </c>
      <c r="P455" s="1875">
        <v>0</v>
      </c>
      <c r="Q455" s="1876">
        <v>0</v>
      </c>
      <c r="R455" s="1719">
        <f t="shared" si="27"/>
        <v>0</v>
      </c>
      <c r="S455" s="348">
        <v>0</v>
      </c>
      <c r="T455" s="295">
        <v>0</v>
      </c>
      <c r="U455" s="348">
        <v>0</v>
      </c>
      <c r="V455" s="348">
        <v>0</v>
      </c>
      <c r="W455" s="349" t="s">
        <v>776</v>
      </c>
      <c r="X455" s="303" t="s">
        <v>866</v>
      </c>
      <c r="Y455" s="322" t="s">
        <v>21</v>
      </c>
      <c r="Z455" s="198" t="s">
        <v>829</v>
      </c>
      <c r="AA455" s="198" t="s">
        <v>829</v>
      </c>
    </row>
    <row r="456" spans="1:27" s="467" customFormat="1" ht="25.5" x14ac:dyDescent="0.25">
      <c r="A456" s="302" t="s">
        <v>493</v>
      </c>
      <c r="B456" s="343" t="s">
        <v>494</v>
      </c>
      <c r="C456" s="344">
        <v>2017</v>
      </c>
      <c r="D456" s="76" t="s">
        <v>995</v>
      </c>
      <c r="E456" s="345" t="s">
        <v>495</v>
      </c>
      <c r="F456" s="345" t="s">
        <v>495</v>
      </c>
      <c r="G456" s="549" t="s">
        <v>496</v>
      </c>
      <c r="H456" s="346">
        <v>344.99299999999999</v>
      </c>
      <c r="I456" s="346">
        <v>0</v>
      </c>
      <c r="J456" s="1428">
        <v>345</v>
      </c>
      <c r="K456" s="422">
        <v>344.99299999999999</v>
      </c>
      <c r="L456" s="1546">
        <v>0</v>
      </c>
      <c r="M456" s="347">
        <v>0</v>
      </c>
      <c r="N456" s="665">
        <v>0</v>
      </c>
      <c r="O456" s="348">
        <v>0</v>
      </c>
      <c r="P456" s="1875">
        <v>0</v>
      </c>
      <c r="Q456" s="1876">
        <v>0</v>
      </c>
      <c r="R456" s="1719">
        <f t="shared" si="27"/>
        <v>0</v>
      </c>
      <c r="S456" s="348">
        <v>0</v>
      </c>
      <c r="T456" s="295">
        <v>0</v>
      </c>
      <c r="U456" s="348">
        <v>0</v>
      </c>
      <c r="V456" s="348">
        <v>0</v>
      </c>
      <c r="W456" s="120" t="s">
        <v>776</v>
      </c>
      <c r="X456" s="303" t="s">
        <v>866</v>
      </c>
      <c r="Y456" s="322" t="s">
        <v>21</v>
      </c>
      <c r="Z456" s="198" t="s">
        <v>829</v>
      </c>
      <c r="AA456" s="198" t="s">
        <v>829</v>
      </c>
    </row>
    <row r="457" spans="1:27" ht="38.25" customHeight="1" x14ac:dyDescent="0.25">
      <c r="A457" s="266" t="s">
        <v>497</v>
      </c>
      <c r="B457" s="261" t="s">
        <v>498</v>
      </c>
      <c r="C457" s="209">
        <v>2017</v>
      </c>
      <c r="D457" s="4" t="s">
        <v>995</v>
      </c>
      <c r="E457" s="262" t="s">
        <v>959</v>
      </c>
      <c r="F457" s="262" t="s">
        <v>959</v>
      </c>
      <c r="G457" s="546" t="s">
        <v>867</v>
      </c>
      <c r="H457" s="263">
        <v>2500</v>
      </c>
      <c r="I457" s="263">
        <v>296.45</v>
      </c>
      <c r="J457" s="677">
        <v>0</v>
      </c>
      <c r="K457" s="181">
        <v>0</v>
      </c>
      <c r="L457" s="1558">
        <v>0</v>
      </c>
      <c r="M457" s="265">
        <v>1102</v>
      </c>
      <c r="N457" s="662">
        <v>1101.55</v>
      </c>
      <c r="O457" s="264">
        <v>0</v>
      </c>
      <c r="P457" s="1872">
        <v>2203.5500000000002</v>
      </c>
      <c r="Q457" s="1877">
        <v>0</v>
      </c>
      <c r="R457" s="1715">
        <f t="shared" si="27"/>
        <v>2203.5500000000002</v>
      </c>
      <c r="S457" s="264">
        <v>0</v>
      </c>
      <c r="T457" s="31">
        <v>0</v>
      </c>
      <c r="U457" s="264">
        <v>0</v>
      </c>
      <c r="V457" s="264">
        <v>0</v>
      </c>
      <c r="W457" s="209" t="s">
        <v>868</v>
      </c>
      <c r="X457" s="270" t="s">
        <v>20</v>
      </c>
      <c r="Y457" s="271" t="s">
        <v>883</v>
      </c>
      <c r="Z457" s="195" t="s">
        <v>828</v>
      </c>
      <c r="AA457" s="195" t="s">
        <v>828</v>
      </c>
    </row>
    <row r="458" spans="1:27" ht="30" x14ac:dyDescent="0.25">
      <c r="A458" s="951" t="s">
        <v>499</v>
      </c>
      <c r="B458" s="952" t="s">
        <v>500</v>
      </c>
      <c r="C458" s="550">
        <v>2017</v>
      </c>
      <c r="D458" s="551" t="s">
        <v>995</v>
      </c>
      <c r="E458" s="953" t="s">
        <v>960</v>
      </c>
      <c r="F458" s="953" t="s">
        <v>960</v>
      </c>
      <c r="G458" s="954" t="s">
        <v>1414</v>
      </c>
      <c r="H458" s="955">
        <v>500</v>
      </c>
      <c r="I458" s="955">
        <v>0</v>
      </c>
      <c r="J458" s="767">
        <v>500</v>
      </c>
      <c r="K458" s="853">
        <v>382.15339999999998</v>
      </c>
      <c r="L458" s="1554">
        <f>500-382.1534</f>
        <v>117.84660000000002</v>
      </c>
      <c r="M458" s="956">
        <v>0</v>
      </c>
      <c r="N458" s="957">
        <v>0</v>
      </c>
      <c r="O458" s="959">
        <v>0</v>
      </c>
      <c r="P458" s="1878">
        <f>500-382.1534</f>
        <v>117.84660000000002</v>
      </c>
      <c r="Q458" s="1879">
        <v>0</v>
      </c>
      <c r="R458" s="1466">
        <f t="shared" si="27"/>
        <v>117.84660000000002</v>
      </c>
      <c r="S458" s="959">
        <v>0</v>
      </c>
      <c r="T458" s="958">
        <v>0</v>
      </c>
      <c r="U458" s="959">
        <v>0</v>
      </c>
      <c r="V458" s="959">
        <v>0</v>
      </c>
      <c r="W458" s="552" t="s">
        <v>1929</v>
      </c>
      <c r="X458" s="960" t="s">
        <v>46</v>
      </c>
      <c r="Y458" s="961" t="s">
        <v>883</v>
      </c>
      <c r="Z458" s="776" t="s">
        <v>829</v>
      </c>
      <c r="AA458" s="776" t="s">
        <v>829</v>
      </c>
    </row>
    <row r="459" spans="1:27" s="467" customFormat="1" ht="25.5" x14ac:dyDescent="0.25">
      <c r="A459" s="302" t="s">
        <v>501</v>
      </c>
      <c r="B459" s="343" t="s">
        <v>502</v>
      </c>
      <c r="C459" s="344">
        <v>2017</v>
      </c>
      <c r="D459" s="76" t="s">
        <v>995</v>
      </c>
      <c r="E459" s="345" t="s">
        <v>503</v>
      </c>
      <c r="F459" s="345" t="s">
        <v>503</v>
      </c>
      <c r="G459" s="549" t="s">
        <v>504</v>
      </c>
      <c r="H459" s="346">
        <v>987.65</v>
      </c>
      <c r="I459" s="346">
        <v>0</v>
      </c>
      <c r="J459" s="1428">
        <v>988</v>
      </c>
      <c r="K459" s="422">
        <v>987.65</v>
      </c>
      <c r="L459" s="1546">
        <v>0</v>
      </c>
      <c r="M459" s="347">
        <v>0</v>
      </c>
      <c r="N459" s="665">
        <v>0</v>
      </c>
      <c r="O459" s="348">
        <v>0</v>
      </c>
      <c r="P459" s="1875">
        <f>123.65-123.3</f>
        <v>0.35000000000000853</v>
      </c>
      <c r="Q459" s="1876">
        <v>-0.35</v>
      </c>
      <c r="R459" s="1719">
        <f t="shared" si="27"/>
        <v>8.5487172896137054E-15</v>
      </c>
      <c r="S459" s="348">
        <v>0</v>
      </c>
      <c r="T459" s="295">
        <v>0</v>
      </c>
      <c r="U459" s="348">
        <v>0</v>
      </c>
      <c r="V459" s="348">
        <v>0</v>
      </c>
      <c r="W459" s="349" t="s">
        <v>776</v>
      </c>
      <c r="X459" s="303" t="s">
        <v>866</v>
      </c>
      <c r="Y459" s="322" t="s">
        <v>305</v>
      </c>
      <c r="Z459" s="198" t="s">
        <v>829</v>
      </c>
      <c r="AA459" s="198" t="s">
        <v>829</v>
      </c>
    </row>
    <row r="460" spans="1:27" ht="32.25" customHeight="1" x14ac:dyDescent="0.25">
      <c r="A460" s="951" t="s">
        <v>505</v>
      </c>
      <c r="B460" s="952" t="s">
        <v>506</v>
      </c>
      <c r="C460" s="550">
        <v>2017</v>
      </c>
      <c r="D460" s="551" t="s">
        <v>995</v>
      </c>
      <c r="E460" s="953" t="s">
        <v>507</v>
      </c>
      <c r="F460" s="953" t="s">
        <v>507</v>
      </c>
      <c r="G460" s="954" t="s">
        <v>508</v>
      </c>
      <c r="H460" s="955">
        <v>3500</v>
      </c>
      <c r="I460" s="955">
        <v>0</v>
      </c>
      <c r="J460" s="767">
        <v>3500</v>
      </c>
      <c r="K460" s="853">
        <v>2978.3020000000001</v>
      </c>
      <c r="L460" s="1554">
        <f>3500-2978.302</f>
        <v>521.69799999999987</v>
      </c>
      <c r="M460" s="956">
        <v>0</v>
      </c>
      <c r="N460" s="957">
        <v>0</v>
      </c>
      <c r="O460" s="959">
        <v>0</v>
      </c>
      <c r="P460" s="1878">
        <f>3500-2978.302</f>
        <v>521.69799999999987</v>
      </c>
      <c r="Q460" s="1879">
        <v>0</v>
      </c>
      <c r="R460" s="1466">
        <f t="shared" si="27"/>
        <v>521.69799999999987</v>
      </c>
      <c r="S460" s="959">
        <v>0</v>
      </c>
      <c r="T460" s="958">
        <v>0</v>
      </c>
      <c r="U460" s="959">
        <v>0</v>
      </c>
      <c r="V460" s="959">
        <v>0</v>
      </c>
      <c r="W460" s="840" t="s">
        <v>1930</v>
      </c>
      <c r="X460" s="960" t="s">
        <v>14</v>
      </c>
      <c r="Y460" s="961" t="s">
        <v>883</v>
      </c>
      <c r="Z460" s="776" t="s">
        <v>828</v>
      </c>
      <c r="AA460" s="776" t="s">
        <v>828</v>
      </c>
    </row>
    <row r="461" spans="1:27" s="467" customFormat="1" ht="25.5" x14ac:dyDescent="0.25">
      <c r="A461" s="302" t="s">
        <v>510</v>
      </c>
      <c r="B461" s="343" t="s">
        <v>667</v>
      </c>
      <c r="C461" s="344">
        <v>2017</v>
      </c>
      <c r="D461" s="76" t="s">
        <v>995</v>
      </c>
      <c r="E461" s="345" t="s">
        <v>959</v>
      </c>
      <c r="F461" s="345" t="s">
        <v>959</v>
      </c>
      <c r="G461" s="549" t="s">
        <v>511</v>
      </c>
      <c r="H461" s="346">
        <v>6324.6545599999999</v>
      </c>
      <c r="I461" s="346">
        <v>0</v>
      </c>
      <c r="J461" s="1428">
        <v>6325</v>
      </c>
      <c r="K461" s="422">
        <v>6324.654559999999</v>
      </c>
      <c r="L461" s="1546">
        <v>0</v>
      </c>
      <c r="M461" s="347">
        <v>0</v>
      </c>
      <c r="N461" s="665">
        <v>0</v>
      </c>
      <c r="O461" s="348">
        <v>0</v>
      </c>
      <c r="P461" s="1875">
        <v>0</v>
      </c>
      <c r="Q461" s="1876">
        <v>0</v>
      </c>
      <c r="R461" s="1719">
        <f t="shared" si="27"/>
        <v>0</v>
      </c>
      <c r="S461" s="348">
        <v>0</v>
      </c>
      <c r="T461" s="295">
        <v>0</v>
      </c>
      <c r="U461" s="348">
        <v>0</v>
      </c>
      <c r="V461" s="348">
        <v>0</v>
      </c>
      <c r="W461" s="349" t="s">
        <v>776</v>
      </c>
      <c r="X461" s="303" t="s">
        <v>866</v>
      </c>
      <c r="Y461" s="322" t="s">
        <v>305</v>
      </c>
      <c r="Z461" s="198" t="s">
        <v>829</v>
      </c>
      <c r="AA461" s="198" t="s">
        <v>829</v>
      </c>
    </row>
    <row r="462" spans="1:27" s="464" customFormat="1" ht="25.5" x14ac:dyDescent="0.25">
      <c r="A462" s="1064" t="s">
        <v>512</v>
      </c>
      <c r="B462" s="1637" t="s">
        <v>668</v>
      </c>
      <c r="C462" s="452">
        <v>2017</v>
      </c>
      <c r="D462" s="714" t="s">
        <v>995</v>
      </c>
      <c r="E462" s="1127" t="s">
        <v>479</v>
      </c>
      <c r="F462" s="1127" t="s">
        <v>479</v>
      </c>
      <c r="G462" s="1638" t="s">
        <v>513</v>
      </c>
      <c r="H462" s="1130">
        <v>4193.6450000000004</v>
      </c>
      <c r="I462" s="1130">
        <v>0</v>
      </c>
      <c r="J462" s="1439">
        <v>4198.768</v>
      </c>
      <c r="K462" s="585">
        <v>4193.6450000000004</v>
      </c>
      <c r="L462" s="1559">
        <v>0</v>
      </c>
      <c r="M462" s="978">
        <v>0</v>
      </c>
      <c r="N462" s="1059">
        <v>0</v>
      </c>
      <c r="O462" s="981">
        <v>0</v>
      </c>
      <c r="P462" s="1880">
        <v>0</v>
      </c>
      <c r="Q462" s="1881">
        <v>0</v>
      </c>
      <c r="R462" s="1721">
        <f t="shared" si="27"/>
        <v>0</v>
      </c>
      <c r="S462" s="981">
        <v>0</v>
      </c>
      <c r="T462" s="1389">
        <v>0</v>
      </c>
      <c r="U462" s="981">
        <v>0</v>
      </c>
      <c r="V462" s="981">
        <v>0</v>
      </c>
      <c r="W462" s="355" t="s">
        <v>1715</v>
      </c>
      <c r="X462" s="983" t="s">
        <v>866</v>
      </c>
      <c r="Y462" s="1023" t="s">
        <v>562</v>
      </c>
      <c r="Z462" s="747" t="s">
        <v>829</v>
      </c>
      <c r="AA462" s="747" t="s">
        <v>829</v>
      </c>
    </row>
    <row r="463" spans="1:27" s="464" customFormat="1" ht="25.5" x14ac:dyDescent="0.25">
      <c r="A463" s="302" t="s">
        <v>514</v>
      </c>
      <c r="B463" s="343" t="s">
        <v>515</v>
      </c>
      <c r="C463" s="344">
        <v>2017</v>
      </c>
      <c r="D463" s="76" t="s">
        <v>995</v>
      </c>
      <c r="E463" s="345" t="s">
        <v>485</v>
      </c>
      <c r="F463" s="345" t="s">
        <v>485</v>
      </c>
      <c r="G463" s="549" t="s">
        <v>516</v>
      </c>
      <c r="H463" s="346">
        <f>1475+0.33158</f>
        <v>1475.33158</v>
      </c>
      <c r="I463" s="346">
        <v>85</v>
      </c>
      <c r="J463" s="1428">
        <v>1390</v>
      </c>
      <c r="K463" s="422">
        <v>1390.33158</v>
      </c>
      <c r="L463" s="1546">
        <v>0</v>
      </c>
      <c r="M463" s="347">
        <v>0</v>
      </c>
      <c r="N463" s="665">
        <v>0</v>
      </c>
      <c r="O463" s="348">
        <v>0</v>
      </c>
      <c r="P463" s="1875">
        <v>0</v>
      </c>
      <c r="Q463" s="1876">
        <v>0</v>
      </c>
      <c r="R463" s="1719">
        <f t="shared" si="27"/>
        <v>0</v>
      </c>
      <c r="S463" s="348">
        <v>0</v>
      </c>
      <c r="T463" s="295">
        <v>0</v>
      </c>
      <c r="U463" s="348">
        <v>0</v>
      </c>
      <c r="V463" s="348">
        <v>0</v>
      </c>
      <c r="W463" s="349" t="s">
        <v>776</v>
      </c>
      <c r="X463" s="303" t="s">
        <v>866</v>
      </c>
      <c r="Y463" s="322" t="s">
        <v>650</v>
      </c>
      <c r="Z463" s="198" t="s">
        <v>829</v>
      </c>
      <c r="AA463" s="198" t="s">
        <v>829</v>
      </c>
    </row>
    <row r="464" spans="1:27" ht="32.25" customHeight="1" x14ac:dyDescent="0.25">
      <c r="A464" s="266" t="s">
        <v>517</v>
      </c>
      <c r="B464" s="261" t="s">
        <v>669</v>
      </c>
      <c r="C464" s="209">
        <v>2017</v>
      </c>
      <c r="D464" s="4" t="s">
        <v>995</v>
      </c>
      <c r="E464" s="273" t="s">
        <v>968</v>
      </c>
      <c r="F464" s="273" t="s">
        <v>968</v>
      </c>
      <c r="G464" s="548" t="s">
        <v>518</v>
      </c>
      <c r="H464" s="263">
        <v>10000</v>
      </c>
      <c r="I464" s="263">
        <v>0</v>
      </c>
      <c r="J464" s="677">
        <v>0</v>
      </c>
      <c r="K464" s="181">
        <v>0</v>
      </c>
      <c r="L464" s="1558">
        <v>0</v>
      </c>
      <c r="M464" s="265">
        <v>5000</v>
      </c>
      <c r="N464" s="662">
        <v>5000</v>
      </c>
      <c r="O464" s="264">
        <v>0</v>
      </c>
      <c r="P464" s="1872">
        <v>10000</v>
      </c>
      <c r="Q464" s="1877">
        <v>0</v>
      </c>
      <c r="R464" s="1715">
        <f t="shared" si="27"/>
        <v>10000</v>
      </c>
      <c r="S464" s="264">
        <v>0</v>
      </c>
      <c r="T464" s="31">
        <v>0</v>
      </c>
      <c r="U464" s="264">
        <v>0</v>
      </c>
      <c r="V464" s="264">
        <v>0</v>
      </c>
      <c r="W464" s="209" t="s">
        <v>1716</v>
      </c>
      <c r="X464" s="270" t="s">
        <v>14</v>
      </c>
      <c r="Y464" s="271" t="s">
        <v>977</v>
      </c>
      <c r="Z464" s="195" t="s">
        <v>829</v>
      </c>
      <c r="AA464" s="195" t="s">
        <v>828</v>
      </c>
    </row>
    <row r="465" spans="1:27" s="467" customFormat="1" ht="25.5" x14ac:dyDescent="0.25">
      <c r="A465" s="302" t="s">
        <v>520</v>
      </c>
      <c r="B465" s="350" t="s">
        <v>670</v>
      </c>
      <c r="C465" s="303">
        <v>2018</v>
      </c>
      <c r="D465" s="76" t="s">
        <v>806</v>
      </c>
      <c r="E465" s="303" t="s">
        <v>521</v>
      </c>
      <c r="F465" s="303" t="s">
        <v>521</v>
      </c>
      <c r="G465" s="164" t="s">
        <v>671</v>
      </c>
      <c r="H465" s="299">
        <v>350</v>
      </c>
      <c r="I465" s="299">
        <v>0</v>
      </c>
      <c r="J465" s="1428">
        <v>350</v>
      </c>
      <c r="K465" s="422">
        <v>350</v>
      </c>
      <c r="L465" s="334">
        <v>0</v>
      </c>
      <c r="M465" s="305">
        <v>0</v>
      </c>
      <c r="N465" s="294">
        <v>0</v>
      </c>
      <c r="O465" s="109">
        <v>0</v>
      </c>
      <c r="P465" s="1808">
        <v>0</v>
      </c>
      <c r="Q465" s="1882">
        <v>0</v>
      </c>
      <c r="R465" s="1719">
        <f t="shared" si="27"/>
        <v>0</v>
      </c>
      <c r="S465" s="348">
        <v>0</v>
      </c>
      <c r="T465" s="110">
        <v>0</v>
      </c>
      <c r="U465" s="109">
        <v>0</v>
      </c>
      <c r="V465" s="348">
        <v>0</v>
      </c>
      <c r="W465" s="303" t="s">
        <v>776</v>
      </c>
      <c r="X465" s="303" t="s">
        <v>866</v>
      </c>
      <c r="Y465" s="322" t="s">
        <v>322</v>
      </c>
      <c r="Z465" s="198" t="s">
        <v>829</v>
      </c>
      <c r="AA465" s="198" t="s">
        <v>829</v>
      </c>
    </row>
    <row r="466" spans="1:27" s="467" customFormat="1" ht="25.5" x14ac:dyDescent="0.25">
      <c r="A466" s="302" t="s">
        <v>522</v>
      </c>
      <c r="B466" s="439" t="s">
        <v>672</v>
      </c>
      <c r="C466" s="440">
        <v>2018</v>
      </c>
      <c r="D466" s="76" t="s">
        <v>806</v>
      </c>
      <c r="E466" s="440" t="s">
        <v>521</v>
      </c>
      <c r="F466" s="303" t="s">
        <v>521</v>
      </c>
      <c r="G466" s="164" t="s">
        <v>523</v>
      </c>
      <c r="H466" s="299">
        <f>450-0.195</f>
        <v>449.80500000000001</v>
      </c>
      <c r="I466" s="299">
        <v>350</v>
      </c>
      <c r="J466" s="1428">
        <v>100</v>
      </c>
      <c r="K466" s="422">
        <v>99.805000000000007</v>
      </c>
      <c r="L466" s="334">
        <v>0</v>
      </c>
      <c r="M466" s="305">
        <v>0</v>
      </c>
      <c r="N466" s="294">
        <v>0</v>
      </c>
      <c r="O466" s="109">
        <v>0</v>
      </c>
      <c r="P466" s="1808">
        <v>0.19500000000000001</v>
      </c>
      <c r="Q466" s="1882">
        <v>-0.19500000000000001</v>
      </c>
      <c r="R466" s="1719">
        <f t="shared" si="27"/>
        <v>0</v>
      </c>
      <c r="S466" s="348">
        <v>0</v>
      </c>
      <c r="T466" s="110">
        <v>0</v>
      </c>
      <c r="U466" s="109">
        <v>0</v>
      </c>
      <c r="V466" s="348">
        <v>0</v>
      </c>
      <c r="W466" s="303" t="s">
        <v>776</v>
      </c>
      <c r="X466" s="303" t="s">
        <v>866</v>
      </c>
      <c r="Y466" s="322" t="s">
        <v>322</v>
      </c>
      <c r="Z466" s="198" t="s">
        <v>829</v>
      </c>
      <c r="AA466" s="198" t="s">
        <v>829</v>
      </c>
    </row>
    <row r="467" spans="1:27" ht="33.75" customHeight="1" x14ac:dyDescent="0.25">
      <c r="A467" s="266" t="s">
        <v>524</v>
      </c>
      <c r="B467" s="272" t="s">
        <v>673</v>
      </c>
      <c r="C467" s="270">
        <v>2018</v>
      </c>
      <c r="D467" s="4" t="s">
        <v>806</v>
      </c>
      <c r="E467" s="273" t="s">
        <v>479</v>
      </c>
      <c r="F467" s="262" t="s">
        <v>479</v>
      </c>
      <c r="G467" s="546" t="s">
        <v>525</v>
      </c>
      <c r="H467" s="263">
        <v>7000</v>
      </c>
      <c r="I467" s="263">
        <v>0</v>
      </c>
      <c r="J467" s="677">
        <v>0</v>
      </c>
      <c r="K467" s="181">
        <v>0</v>
      </c>
      <c r="L467" s="1558">
        <v>0</v>
      </c>
      <c r="M467" s="265">
        <v>0</v>
      </c>
      <c r="N467" s="662">
        <v>0</v>
      </c>
      <c r="O467" s="264">
        <v>1137</v>
      </c>
      <c r="P467" s="1872">
        <v>1137</v>
      </c>
      <c r="Q467" s="1877">
        <v>0</v>
      </c>
      <c r="R467" s="1715">
        <f t="shared" si="27"/>
        <v>1137</v>
      </c>
      <c r="S467" s="264">
        <v>0</v>
      </c>
      <c r="T467" s="31">
        <v>0</v>
      </c>
      <c r="U467" s="264">
        <v>5863</v>
      </c>
      <c r="V467" s="264">
        <v>0</v>
      </c>
      <c r="W467" s="209" t="s">
        <v>776</v>
      </c>
      <c r="X467" s="270" t="s">
        <v>20</v>
      </c>
      <c r="Y467" s="271" t="s">
        <v>722</v>
      </c>
      <c r="Z467" s="195" t="s">
        <v>828</v>
      </c>
      <c r="AA467" s="195" t="s">
        <v>828</v>
      </c>
    </row>
    <row r="468" spans="1:27" ht="34.5" customHeight="1" x14ac:dyDescent="0.25">
      <c r="A468" s="266" t="s">
        <v>526</v>
      </c>
      <c r="B468" s="261" t="s">
        <v>674</v>
      </c>
      <c r="C468" s="209">
        <v>2018</v>
      </c>
      <c r="D468" s="4" t="s">
        <v>806</v>
      </c>
      <c r="E468" s="275" t="s">
        <v>12</v>
      </c>
      <c r="F468" s="276" t="s">
        <v>12</v>
      </c>
      <c r="G468" s="631" t="s">
        <v>1415</v>
      </c>
      <c r="H468" s="277">
        <v>5000</v>
      </c>
      <c r="I468" s="277">
        <v>0</v>
      </c>
      <c r="J468" s="677">
        <v>0</v>
      </c>
      <c r="K468" s="181">
        <v>0</v>
      </c>
      <c r="L468" s="1547">
        <v>0</v>
      </c>
      <c r="M468" s="274">
        <v>5000</v>
      </c>
      <c r="N468" s="248">
        <v>0</v>
      </c>
      <c r="O468" s="30">
        <v>0</v>
      </c>
      <c r="P468" s="1806">
        <v>5000</v>
      </c>
      <c r="Q468" s="1883">
        <v>0</v>
      </c>
      <c r="R468" s="1715">
        <f t="shared" si="27"/>
        <v>5000</v>
      </c>
      <c r="S468" s="264">
        <v>0</v>
      </c>
      <c r="T468" s="29">
        <v>0</v>
      </c>
      <c r="U468" s="30">
        <v>0</v>
      </c>
      <c r="V468" s="264">
        <v>0</v>
      </c>
      <c r="W468" s="4" t="s">
        <v>776</v>
      </c>
      <c r="X468" s="270" t="s">
        <v>14</v>
      </c>
      <c r="Y468" s="271" t="s">
        <v>883</v>
      </c>
      <c r="Z468" s="195" t="s">
        <v>828</v>
      </c>
      <c r="AA468" s="195" t="s">
        <v>828</v>
      </c>
    </row>
    <row r="469" spans="1:27" s="467" customFormat="1" ht="25.5" x14ac:dyDescent="0.25">
      <c r="A469" s="302" t="s">
        <v>527</v>
      </c>
      <c r="B469" s="350" t="s">
        <v>675</v>
      </c>
      <c r="C469" s="303">
        <v>2018</v>
      </c>
      <c r="D469" s="76" t="s">
        <v>257</v>
      </c>
      <c r="E469" s="304" t="s">
        <v>961</v>
      </c>
      <c r="F469" s="303" t="s">
        <v>961</v>
      </c>
      <c r="G469" s="164" t="s">
        <v>528</v>
      </c>
      <c r="H469" s="299">
        <v>110.1815</v>
      </c>
      <c r="I469" s="299">
        <v>0</v>
      </c>
      <c r="J469" s="1428">
        <v>110</v>
      </c>
      <c r="K469" s="422">
        <v>110.1815</v>
      </c>
      <c r="L469" s="334">
        <v>0</v>
      </c>
      <c r="M469" s="305">
        <v>0</v>
      </c>
      <c r="N469" s="294">
        <v>0</v>
      </c>
      <c r="O469" s="109">
        <v>0</v>
      </c>
      <c r="P469" s="1808">
        <v>0</v>
      </c>
      <c r="Q469" s="1882">
        <v>0</v>
      </c>
      <c r="R469" s="1719">
        <f t="shared" si="27"/>
        <v>0</v>
      </c>
      <c r="S469" s="348">
        <v>0</v>
      </c>
      <c r="T469" s="110">
        <v>0</v>
      </c>
      <c r="U469" s="109">
        <v>0</v>
      </c>
      <c r="V469" s="109">
        <v>0</v>
      </c>
      <c r="W469" s="349" t="s">
        <v>776</v>
      </c>
      <c r="X469" s="303" t="s">
        <v>866</v>
      </c>
      <c r="Y469" s="322" t="s">
        <v>649</v>
      </c>
      <c r="Z469" s="198" t="s">
        <v>829</v>
      </c>
      <c r="AA469" s="198" t="s">
        <v>829</v>
      </c>
    </row>
    <row r="470" spans="1:27" s="464" customFormat="1" ht="25.5" x14ac:dyDescent="0.25">
      <c r="A470" s="302" t="s">
        <v>530</v>
      </c>
      <c r="B470" s="350" t="s">
        <v>676</v>
      </c>
      <c r="C470" s="303">
        <v>2018</v>
      </c>
      <c r="D470" s="68" t="s">
        <v>257</v>
      </c>
      <c r="E470" s="304" t="s">
        <v>962</v>
      </c>
      <c r="F470" s="304" t="s">
        <v>962</v>
      </c>
      <c r="G470" s="164" t="s">
        <v>531</v>
      </c>
      <c r="H470" s="299">
        <v>1950.335</v>
      </c>
      <c r="I470" s="299">
        <v>0</v>
      </c>
      <c r="J470" s="1428">
        <v>1950.335</v>
      </c>
      <c r="K470" s="422">
        <v>1950.335</v>
      </c>
      <c r="L470" s="334">
        <v>0</v>
      </c>
      <c r="M470" s="294">
        <v>0</v>
      </c>
      <c r="N470" s="294">
        <v>0</v>
      </c>
      <c r="O470" s="109">
        <v>0</v>
      </c>
      <c r="P470" s="1808">
        <v>0</v>
      </c>
      <c r="Q470" s="1882">
        <v>0</v>
      </c>
      <c r="R470" s="1722">
        <f t="shared" si="27"/>
        <v>0</v>
      </c>
      <c r="S470" s="109">
        <v>0</v>
      </c>
      <c r="T470" s="110">
        <v>0</v>
      </c>
      <c r="U470" s="109">
        <v>0</v>
      </c>
      <c r="V470" s="109">
        <v>0</v>
      </c>
      <c r="W470" s="303" t="s">
        <v>776</v>
      </c>
      <c r="X470" s="303" t="s">
        <v>866</v>
      </c>
      <c r="Y470" s="322" t="s">
        <v>747</v>
      </c>
      <c r="Z470" s="198" t="s">
        <v>829</v>
      </c>
      <c r="AA470" s="198" t="s">
        <v>829</v>
      </c>
    </row>
    <row r="471" spans="1:27" s="454" customFormat="1" ht="25.5" x14ac:dyDescent="0.25">
      <c r="A471" s="962" t="s">
        <v>532</v>
      </c>
      <c r="B471" s="963" t="s">
        <v>677</v>
      </c>
      <c r="C471" s="964">
        <v>2018</v>
      </c>
      <c r="D471" s="965" t="s">
        <v>257</v>
      </c>
      <c r="E471" s="966" t="s">
        <v>533</v>
      </c>
      <c r="F471" s="966" t="s">
        <v>533</v>
      </c>
      <c r="G471" s="967" t="s">
        <v>1416</v>
      </c>
      <c r="H471" s="968">
        <v>1072.7154</v>
      </c>
      <c r="I471" s="968">
        <v>0</v>
      </c>
      <c r="J471" s="941">
        <v>1380</v>
      </c>
      <c r="K471" s="1460">
        <v>0</v>
      </c>
      <c r="L471" s="942">
        <v>1072.7154</v>
      </c>
      <c r="M471" s="969">
        <v>0</v>
      </c>
      <c r="N471" s="970">
        <v>0</v>
      </c>
      <c r="O471" s="971">
        <v>0</v>
      </c>
      <c r="P471" s="1884">
        <v>1380</v>
      </c>
      <c r="Q471" s="1885">
        <v>-307.28460000000001</v>
      </c>
      <c r="R471" s="1727">
        <f t="shared" si="27"/>
        <v>1072.7154</v>
      </c>
      <c r="S471" s="973">
        <v>0</v>
      </c>
      <c r="T471" s="972">
        <v>0</v>
      </c>
      <c r="U471" s="971"/>
      <c r="V471" s="973">
        <v>0</v>
      </c>
      <c r="W471" s="816" t="s">
        <v>1717</v>
      </c>
      <c r="X471" s="974" t="s">
        <v>46</v>
      </c>
      <c r="Y471" s="976" t="s">
        <v>883</v>
      </c>
      <c r="Z471" s="975" t="s">
        <v>829</v>
      </c>
      <c r="AA471" s="975" t="s">
        <v>829</v>
      </c>
    </row>
    <row r="472" spans="1:27" s="464" customFormat="1" ht="25.5" x14ac:dyDescent="0.25">
      <c r="A472" s="1064" t="s">
        <v>535</v>
      </c>
      <c r="B472" s="1403" t="s">
        <v>678</v>
      </c>
      <c r="C472" s="452">
        <v>2018</v>
      </c>
      <c r="D472" s="714" t="s">
        <v>257</v>
      </c>
      <c r="E472" s="1017" t="s">
        <v>536</v>
      </c>
      <c r="F472" s="1017" t="s">
        <v>536</v>
      </c>
      <c r="G472" s="1018" t="s">
        <v>225</v>
      </c>
      <c r="H472" s="453">
        <v>1917.7895699999999</v>
      </c>
      <c r="I472" s="453">
        <v>0</v>
      </c>
      <c r="J472" s="1439">
        <v>2000</v>
      </c>
      <c r="K472" s="585">
        <v>1917.7895699999999</v>
      </c>
      <c r="L472" s="1548">
        <v>0</v>
      </c>
      <c r="M472" s="978">
        <v>0</v>
      </c>
      <c r="N472" s="979">
        <v>0</v>
      </c>
      <c r="O472" s="980">
        <v>0</v>
      </c>
      <c r="P472" s="1886">
        <v>82.210430000000002</v>
      </c>
      <c r="Q472" s="1887">
        <v>-82.210430000000002</v>
      </c>
      <c r="R472" s="1721">
        <f t="shared" si="27"/>
        <v>0</v>
      </c>
      <c r="S472" s="981">
        <v>0</v>
      </c>
      <c r="T472" s="982">
        <v>0</v>
      </c>
      <c r="U472" s="980">
        <v>0</v>
      </c>
      <c r="V472" s="981">
        <v>0</v>
      </c>
      <c r="W472" s="983" t="s">
        <v>1718</v>
      </c>
      <c r="X472" s="983" t="s">
        <v>866</v>
      </c>
      <c r="Y472" s="1023" t="s">
        <v>562</v>
      </c>
      <c r="Z472" s="985" t="s">
        <v>829</v>
      </c>
      <c r="AA472" s="985" t="s">
        <v>829</v>
      </c>
    </row>
    <row r="473" spans="1:27" s="467" customFormat="1" ht="26.25" thickBot="1" x14ac:dyDescent="0.3">
      <c r="A473" s="441" t="s">
        <v>537</v>
      </c>
      <c r="B473" s="442" t="s">
        <v>679</v>
      </c>
      <c r="C473" s="443">
        <v>2018</v>
      </c>
      <c r="D473" s="191" t="s">
        <v>257</v>
      </c>
      <c r="E473" s="444" t="s">
        <v>538</v>
      </c>
      <c r="F473" s="444" t="s">
        <v>538</v>
      </c>
      <c r="G473" s="203" t="s">
        <v>539</v>
      </c>
      <c r="H473" s="445">
        <v>7757.60239</v>
      </c>
      <c r="I473" s="445">
        <v>0</v>
      </c>
      <c r="J473" s="1445">
        <v>7757.85</v>
      </c>
      <c r="K473" s="649">
        <v>7757.60239</v>
      </c>
      <c r="L473" s="1573">
        <v>0</v>
      </c>
      <c r="M473" s="658">
        <v>0</v>
      </c>
      <c r="N473" s="666">
        <v>0</v>
      </c>
      <c r="O473" s="447">
        <v>0</v>
      </c>
      <c r="P473" s="1888">
        <v>0</v>
      </c>
      <c r="Q473" s="1889">
        <v>0</v>
      </c>
      <c r="R473" s="1720">
        <f t="shared" si="27"/>
        <v>0</v>
      </c>
      <c r="S473" s="447">
        <v>0</v>
      </c>
      <c r="T473" s="446">
        <v>0</v>
      </c>
      <c r="U473" s="447">
        <v>0</v>
      </c>
      <c r="V473" s="447">
        <v>0</v>
      </c>
      <c r="W473" s="443" t="s">
        <v>776</v>
      </c>
      <c r="X473" s="443" t="s">
        <v>866</v>
      </c>
      <c r="Y473" s="449" t="s">
        <v>650</v>
      </c>
      <c r="Z473" s="448" t="s">
        <v>829</v>
      </c>
      <c r="AA473" s="448" t="s">
        <v>829</v>
      </c>
    </row>
    <row r="474" spans="1:27" ht="36.75" customHeight="1" x14ac:dyDescent="0.25">
      <c r="A474" s="260" t="s">
        <v>724</v>
      </c>
      <c r="B474" s="266" t="s">
        <v>1566</v>
      </c>
      <c r="C474" s="270">
        <v>2019</v>
      </c>
      <c r="D474" s="5" t="s">
        <v>801</v>
      </c>
      <c r="E474" s="279" t="s">
        <v>495</v>
      </c>
      <c r="F474" s="273" t="s">
        <v>495</v>
      </c>
      <c r="G474" s="548" t="s">
        <v>680</v>
      </c>
      <c r="H474" s="268">
        <v>6000</v>
      </c>
      <c r="I474" s="268">
        <v>0</v>
      </c>
      <c r="J474" s="1405">
        <v>4000</v>
      </c>
      <c r="K474" s="246">
        <v>4000</v>
      </c>
      <c r="L474" s="1547">
        <v>2000</v>
      </c>
      <c r="M474" s="274">
        <v>0</v>
      </c>
      <c r="N474" s="248">
        <v>0</v>
      </c>
      <c r="O474" s="30">
        <v>0</v>
      </c>
      <c r="P474" s="1806">
        <v>2000</v>
      </c>
      <c r="Q474" s="1807">
        <v>0</v>
      </c>
      <c r="R474" s="1715">
        <f t="shared" si="27"/>
        <v>2000</v>
      </c>
      <c r="S474" s="30">
        <v>0</v>
      </c>
      <c r="T474" s="29">
        <v>0</v>
      </c>
      <c r="U474" s="318">
        <v>0</v>
      </c>
      <c r="V474" s="329">
        <v>0</v>
      </c>
      <c r="W474" s="5" t="s">
        <v>776</v>
      </c>
      <c r="X474" s="270" t="s">
        <v>14</v>
      </c>
      <c r="Y474" s="280" t="s">
        <v>883</v>
      </c>
      <c r="Z474" s="195" t="s">
        <v>828</v>
      </c>
      <c r="AA474" s="195" t="s">
        <v>828</v>
      </c>
    </row>
    <row r="475" spans="1:27" ht="25.5" x14ac:dyDescent="0.25">
      <c r="A475" s="260" t="s">
        <v>725</v>
      </c>
      <c r="B475" s="266" t="s">
        <v>794</v>
      </c>
      <c r="C475" s="270">
        <v>2019</v>
      </c>
      <c r="D475" s="5" t="s">
        <v>801</v>
      </c>
      <c r="E475" s="279" t="s">
        <v>961</v>
      </c>
      <c r="F475" s="273" t="s">
        <v>961</v>
      </c>
      <c r="G475" s="548" t="s">
        <v>681</v>
      </c>
      <c r="H475" s="268">
        <v>2200</v>
      </c>
      <c r="I475" s="268">
        <v>0</v>
      </c>
      <c r="J475" s="677">
        <v>0</v>
      </c>
      <c r="K475" s="181">
        <v>0</v>
      </c>
      <c r="L475" s="1547">
        <v>0</v>
      </c>
      <c r="M475" s="274">
        <v>2200</v>
      </c>
      <c r="N475" s="248">
        <v>0</v>
      </c>
      <c r="O475" s="30">
        <v>0</v>
      </c>
      <c r="P475" s="1806">
        <v>2200</v>
      </c>
      <c r="Q475" s="1807">
        <v>0</v>
      </c>
      <c r="R475" s="1715">
        <f t="shared" si="27"/>
        <v>2200</v>
      </c>
      <c r="S475" s="30">
        <v>0</v>
      </c>
      <c r="T475" s="29">
        <v>0</v>
      </c>
      <c r="U475" s="318">
        <v>0</v>
      </c>
      <c r="V475" s="329">
        <v>0</v>
      </c>
      <c r="W475" s="5" t="s">
        <v>1153</v>
      </c>
      <c r="X475" s="270" t="s">
        <v>20</v>
      </c>
      <c r="Y475" s="280" t="s">
        <v>883</v>
      </c>
      <c r="Z475" s="195" t="s">
        <v>828</v>
      </c>
      <c r="AA475" s="195" t="s">
        <v>828</v>
      </c>
    </row>
    <row r="476" spans="1:27" s="470" customFormat="1" ht="25.5" x14ac:dyDescent="0.25">
      <c r="A476" s="986" t="s">
        <v>726</v>
      </c>
      <c r="B476" s="951" t="s">
        <v>1522</v>
      </c>
      <c r="C476" s="960">
        <v>2019</v>
      </c>
      <c r="D476" s="553" t="s">
        <v>801</v>
      </c>
      <c r="E476" s="987" t="s">
        <v>961</v>
      </c>
      <c r="F476" s="988" t="s">
        <v>961</v>
      </c>
      <c r="G476" s="989" t="s">
        <v>682</v>
      </c>
      <c r="H476" s="990">
        <v>3240</v>
      </c>
      <c r="I476" s="990">
        <v>0</v>
      </c>
      <c r="J476" s="767">
        <v>3240</v>
      </c>
      <c r="K476" s="853">
        <v>2114.7899600000001</v>
      </c>
      <c r="L476" s="1536">
        <v>1125.2100399999999</v>
      </c>
      <c r="M476" s="991">
        <v>0</v>
      </c>
      <c r="N476" s="923">
        <v>0</v>
      </c>
      <c r="O476" s="993">
        <v>0</v>
      </c>
      <c r="P476" s="1735">
        <v>1125.2100399999999</v>
      </c>
      <c r="Q476" s="1810">
        <v>0</v>
      </c>
      <c r="R476" s="1466">
        <f t="shared" si="27"/>
        <v>1125.2100399999999</v>
      </c>
      <c r="S476" s="993">
        <v>0</v>
      </c>
      <c r="T476" s="992">
        <v>0</v>
      </c>
      <c r="U476" s="994">
        <v>0</v>
      </c>
      <c r="V476" s="995">
        <v>0</v>
      </c>
      <c r="W476" s="553" t="s">
        <v>1719</v>
      </c>
      <c r="X476" s="960" t="s">
        <v>46</v>
      </c>
      <c r="Y476" s="996" t="s">
        <v>883</v>
      </c>
      <c r="Z476" s="776" t="s">
        <v>829</v>
      </c>
      <c r="AA476" s="776" t="s">
        <v>829</v>
      </c>
    </row>
    <row r="477" spans="1:27" s="1399" customFormat="1" ht="27.75" customHeight="1" x14ac:dyDescent="0.25">
      <c r="A477" s="1111" t="s">
        <v>727</v>
      </c>
      <c r="B477" s="1111" t="s">
        <v>1581</v>
      </c>
      <c r="C477" s="1112">
        <v>2019</v>
      </c>
      <c r="D477" s="1113" t="s">
        <v>801</v>
      </c>
      <c r="E477" s="1114" t="s">
        <v>969</v>
      </c>
      <c r="F477" s="1115" t="s">
        <v>969</v>
      </c>
      <c r="G477" s="1116" t="s">
        <v>683</v>
      </c>
      <c r="H477" s="1117">
        <v>1174.7065500000001</v>
      </c>
      <c r="I477" s="1117">
        <v>0</v>
      </c>
      <c r="J477" s="1625">
        <v>1000</v>
      </c>
      <c r="K477" s="1404">
        <v>1000</v>
      </c>
      <c r="L477" s="1574">
        <v>0</v>
      </c>
      <c r="M477" s="1119">
        <v>0</v>
      </c>
      <c r="N477" s="1120">
        <v>0</v>
      </c>
      <c r="O477" s="1122">
        <v>0</v>
      </c>
      <c r="P477" s="1890">
        <v>0</v>
      </c>
      <c r="Q477" s="1891">
        <v>0</v>
      </c>
      <c r="R477" s="1739">
        <f t="shared" si="27"/>
        <v>0</v>
      </c>
      <c r="S477" s="1122">
        <v>0</v>
      </c>
      <c r="T477" s="1121">
        <v>174.70654999999999</v>
      </c>
      <c r="U477" s="1123">
        <v>0</v>
      </c>
      <c r="V477" s="1124">
        <v>0</v>
      </c>
      <c r="W477" s="1113" t="s">
        <v>1947</v>
      </c>
      <c r="X477" s="1112" t="s">
        <v>866</v>
      </c>
      <c r="Y477" s="1125" t="s">
        <v>305</v>
      </c>
      <c r="Z477" s="1126" t="s">
        <v>829</v>
      </c>
      <c r="AA477" s="1126" t="s">
        <v>829</v>
      </c>
    </row>
    <row r="478" spans="1:27" s="489" customFormat="1" ht="25.5" x14ac:dyDescent="0.25">
      <c r="A478" s="986" t="s">
        <v>728</v>
      </c>
      <c r="B478" s="951" t="s">
        <v>794</v>
      </c>
      <c r="C478" s="960">
        <v>2019</v>
      </c>
      <c r="D478" s="553" t="s">
        <v>801</v>
      </c>
      <c r="E478" s="987" t="s">
        <v>469</v>
      </c>
      <c r="F478" s="988" t="s">
        <v>469</v>
      </c>
      <c r="G478" s="989" t="s">
        <v>684</v>
      </c>
      <c r="H478" s="990">
        <v>665.49900000000002</v>
      </c>
      <c r="I478" s="990">
        <v>0</v>
      </c>
      <c r="J478" s="767">
        <v>665.49900000000002</v>
      </c>
      <c r="K478" s="853">
        <v>0</v>
      </c>
      <c r="L478" s="1536">
        <v>665.49900000000002</v>
      </c>
      <c r="M478" s="991">
        <v>0</v>
      </c>
      <c r="N478" s="923">
        <v>0</v>
      </c>
      <c r="O478" s="993">
        <v>0</v>
      </c>
      <c r="P478" s="1735">
        <v>665.49900000000002</v>
      </c>
      <c r="Q478" s="1810">
        <v>0</v>
      </c>
      <c r="R478" s="1466">
        <f t="shared" si="27"/>
        <v>665.49900000000002</v>
      </c>
      <c r="S478" s="993">
        <v>0</v>
      </c>
      <c r="T478" s="992">
        <v>0</v>
      </c>
      <c r="U478" s="994">
        <v>0</v>
      </c>
      <c r="V478" s="995">
        <v>0</v>
      </c>
      <c r="W478" s="553" t="s">
        <v>1720</v>
      </c>
      <c r="X478" s="960" t="s">
        <v>46</v>
      </c>
      <c r="Y478" s="996" t="s">
        <v>883</v>
      </c>
      <c r="Z478" s="776" t="s">
        <v>829</v>
      </c>
      <c r="AA478" s="776" t="s">
        <v>829</v>
      </c>
    </row>
    <row r="479" spans="1:27" s="506" customFormat="1" ht="36" customHeight="1" x14ac:dyDescent="0.25">
      <c r="A479" s="986" t="s">
        <v>729</v>
      </c>
      <c r="B479" s="951" t="s">
        <v>1931</v>
      </c>
      <c r="C479" s="960">
        <v>2019</v>
      </c>
      <c r="D479" s="553" t="s">
        <v>801</v>
      </c>
      <c r="E479" s="987" t="s">
        <v>469</v>
      </c>
      <c r="F479" s="988" t="s">
        <v>469</v>
      </c>
      <c r="G479" s="989" t="s">
        <v>685</v>
      </c>
      <c r="H479" s="990">
        <v>11409.352000000001</v>
      </c>
      <c r="I479" s="990">
        <v>0</v>
      </c>
      <c r="J479" s="767">
        <v>7000</v>
      </c>
      <c r="K479" s="853">
        <v>1899.3955100000001</v>
      </c>
      <c r="L479" s="1536">
        <f>5400-1899.39551</f>
        <v>3500.6044899999997</v>
      </c>
      <c r="M479" s="997">
        <v>4509.3519999999999</v>
      </c>
      <c r="N479" s="923">
        <v>1500</v>
      </c>
      <c r="O479" s="993">
        <v>0</v>
      </c>
      <c r="P479" s="1735">
        <f>9909.352+1500-1899.39551</f>
        <v>9509.9564900000005</v>
      </c>
      <c r="Q479" s="1810">
        <v>0</v>
      </c>
      <c r="R479" s="1466">
        <f t="shared" si="27"/>
        <v>9509.9564900000005</v>
      </c>
      <c r="S479" s="993">
        <v>0</v>
      </c>
      <c r="T479" s="992">
        <v>0</v>
      </c>
      <c r="U479" s="992">
        <v>0</v>
      </c>
      <c r="V479" s="995">
        <v>0</v>
      </c>
      <c r="W479" s="553" t="s">
        <v>1932</v>
      </c>
      <c r="X479" s="960" t="s">
        <v>46</v>
      </c>
      <c r="Y479" s="996" t="s">
        <v>854</v>
      </c>
      <c r="Z479" s="776" t="s">
        <v>829</v>
      </c>
      <c r="AA479" s="776" t="s">
        <v>829</v>
      </c>
    </row>
    <row r="480" spans="1:27" ht="25.5" x14ac:dyDescent="0.25">
      <c r="A480" s="260" t="s">
        <v>730</v>
      </c>
      <c r="B480" s="266" t="s">
        <v>794</v>
      </c>
      <c r="C480" s="270">
        <v>2019</v>
      </c>
      <c r="D480" s="5" t="s">
        <v>801</v>
      </c>
      <c r="E480" s="279" t="s">
        <v>471</v>
      </c>
      <c r="F480" s="273" t="s">
        <v>471</v>
      </c>
      <c r="G480" s="548" t="s">
        <v>686</v>
      </c>
      <c r="H480" s="268">
        <v>8400</v>
      </c>
      <c r="I480" s="268">
        <v>0</v>
      </c>
      <c r="J480" s="677">
        <v>0</v>
      </c>
      <c r="K480" s="181">
        <v>0</v>
      </c>
      <c r="L480" s="1547">
        <v>0</v>
      </c>
      <c r="M480" s="274">
        <v>4200</v>
      </c>
      <c r="N480" s="248">
        <v>4200</v>
      </c>
      <c r="O480" s="30">
        <v>0</v>
      </c>
      <c r="P480" s="1806">
        <v>8400</v>
      </c>
      <c r="Q480" s="1807">
        <v>0</v>
      </c>
      <c r="R480" s="1715">
        <f t="shared" si="27"/>
        <v>8400</v>
      </c>
      <c r="S480" s="30">
        <v>0</v>
      </c>
      <c r="T480" s="29">
        <v>0</v>
      </c>
      <c r="U480" s="318">
        <v>0</v>
      </c>
      <c r="V480" s="329">
        <v>0</v>
      </c>
      <c r="W480" s="270" t="s">
        <v>776</v>
      </c>
      <c r="X480" s="270" t="s">
        <v>20</v>
      </c>
      <c r="Y480" s="280" t="s">
        <v>883</v>
      </c>
      <c r="Z480" s="195" t="s">
        <v>828</v>
      </c>
      <c r="AA480" s="195" t="s">
        <v>828</v>
      </c>
    </row>
    <row r="481" spans="1:27" ht="25.5" x14ac:dyDescent="0.25">
      <c r="A481" s="260" t="s">
        <v>731</v>
      </c>
      <c r="B481" s="266" t="s">
        <v>794</v>
      </c>
      <c r="C481" s="270">
        <v>2019</v>
      </c>
      <c r="D481" s="5" t="s">
        <v>801</v>
      </c>
      <c r="E481" s="279" t="s">
        <v>534</v>
      </c>
      <c r="F481" s="273" t="s">
        <v>534</v>
      </c>
      <c r="G481" s="548" t="s">
        <v>687</v>
      </c>
      <c r="H481" s="268">
        <v>4000</v>
      </c>
      <c r="I481" s="268">
        <v>0</v>
      </c>
      <c r="J481" s="677">
        <v>0</v>
      </c>
      <c r="K481" s="181">
        <v>0</v>
      </c>
      <c r="L481" s="1547">
        <v>0</v>
      </c>
      <c r="M481" s="274">
        <v>2000</v>
      </c>
      <c r="N481" s="248">
        <v>2000</v>
      </c>
      <c r="O481" s="30">
        <v>0</v>
      </c>
      <c r="P481" s="1806">
        <v>4000</v>
      </c>
      <c r="Q481" s="1807">
        <v>0</v>
      </c>
      <c r="R481" s="1715">
        <f t="shared" si="27"/>
        <v>4000</v>
      </c>
      <c r="S481" s="30">
        <v>0</v>
      </c>
      <c r="T481" s="29">
        <v>0</v>
      </c>
      <c r="U481" s="318">
        <v>0</v>
      </c>
      <c r="V481" s="329">
        <v>0</v>
      </c>
      <c r="W481" s="270" t="s">
        <v>776</v>
      </c>
      <c r="X481" s="270" t="s">
        <v>20</v>
      </c>
      <c r="Y481" s="280" t="s">
        <v>883</v>
      </c>
      <c r="Z481" s="195" t="s">
        <v>828</v>
      </c>
      <c r="AA481" s="195" t="s">
        <v>828</v>
      </c>
    </row>
    <row r="482" spans="1:27" s="470" customFormat="1" ht="30" x14ac:dyDescent="0.25">
      <c r="A482" s="998" t="s">
        <v>732</v>
      </c>
      <c r="B482" s="999" t="s">
        <v>794</v>
      </c>
      <c r="C482" s="1000">
        <v>2019</v>
      </c>
      <c r="D482" s="580" t="s">
        <v>801</v>
      </c>
      <c r="E482" s="1001" t="s">
        <v>519</v>
      </c>
      <c r="F482" s="1002" t="s">
        <v>519</v>
      </c>
      <c r="G482" s="1003" t="s">
        <v>1721</v>
      </c>
      <c r="H482" s="1004">
        <v>6950</v>
      </c>
      <c r="I482" s="1004">
        <v>0</v>
      </c>
      <c r="J482" s="783">
        <v>0</v>
      </c>
      <c r="K482" s="1118">
        <v>0</v>
      </c>
      <c r="L482" s="1537">
        <v>3000</v>
      </c>
      <c r="M482" s="1005">
        <v>3950</v>
      </c>
      <c r="N482" s="1006">
        <v>0</v>
      </c>
      <c r="O482" s="1009">
        <v>0</v>
      </c>
      <c r="P482" s="1812">
        <v>950</v>
      </c>
      <c r="Q482" s="1813">
        <v>6000</v>
      </c>
      <c r="R482" s="1726">
        <f t="shared" si="27"/>
        <v>6950</v>
      </c>
      <c r="S482" s="1009">
        <v>0</v>
      </c>
      <c r="T482" s="1007">
        <v>0</v>
      </c>
      <c r="U482" s="1010">
        <v>0</v>
      </c>
      <c r="V482" s="1011">
        <v>0</v>
      </c>
      <c r="W482" s="580" t="s">
        <v>1722</v>
      </c>
      <c r="X482" s="1000" t="s">
        <v>20</v>
      </c>
      <c r="Y482" s="1012" t="s">
        <v>883</v>
      </c>
      <c r="Z482" s="1014" t="s">
        <v>828</v>
      </c>
      <c r="AA482" s="1014" t="s">
        <v>828</v>
      </c>
    </row>
    <row r="483" spans="1:27" ht="25.5" x14ac:dyDescent="0.25">
      <c r="A483" s="260" t="s">
        <v>733</v>
      </c>
      <c r="B483" s="266" t="s">
        <v>1933</v>
      </c>
      <c r="C483" s="270">
        <v>2019</v>
      </c>
      <c r="D483" s="5" t="s">
        <v>801</v>
      </c>
      <c r="E483" s="279" t="s">
        <v>474</v>
      </c>
      <c r="F483" s="273" t="s">
        <v>474</v>
      </c>
      <c r="G483" s="548" t="s">
        <v>688</v>
      </c>
      <c r="H483" s="268">
        <v>4200</v>
      </c>
      <c r="I483" s="268">
        <v>0</v>
      </c>
      <c r="J483" s="677">
        <v>2100</v>
      </c>
      <c r="K483" s="181">
        <v>2100</v>
      </c>
      <c r="L483" s="1547">
        <v>2100</v>
      </c>
      <c r="M483" s="274">
        <v>0</v>
      </c>
      <c r="N483" s="248">
        <v>0</v>
      </c>
      <c r="O483" s="30">
        <v>0</v>
      </c>
      <c r="P483" s="1806">
        <v>2100</v>
      </c>
      <c r="Q483" s="1807">
        <v>0</v>
      </c>
      <c r="R483" s="1715">
        <f t="shared" si="27"/>
        <v>2100</v>
      </c>
      <c r="S483" s="30">
        <v>0</v>
      </c>
      <c r="T483" s="29">
        <v>0</v>
      </c>
      <c r="U483" s="318">
        <v>0</v>
      </c>
      <c r="V483" s="329">
        <v>0</v>
      </c>
      <c r="W483" s="270" t="s">
        <v>776</v>
      </c>
      <c r="X483" s="270" t="s">
        <v>46</v>
      </c>
      <c r="Y483" s="280" t="s">
        <v>854</v>
      </c>
      <c r="Z483" s="195" t="s">
        <v>829</v>
      </c>
      <c r="AA483" s="195" t="s">
        <v>829</v>
      </c>
    </row>
    <row r="484" spans="1:27" s="464" customFormat="1" ht="39" customHeight="1" x14ac:dyDescent="0.25">
      <c r="A484" s="301" t="s">
        <v>734</v>
      </c>
      <c r="B484" s="302" t="s">
        <v>1468</v>
      </c>
      <c r="C484" s="303">
        <v>2019</v>
      </c>
      <c r="D484" s="68" t="s">
        <v>801</v>
      </c>
      <c r="E484" s="450" t="s">
        <v>536</v>
      </c>
      <c r="F484" s="304" t="s">
        <v>536</v>
      </c>
      <c r="G484" s="164" t="s">
        <v>689</v>
      </c>
      <c r="H484" s="299">
        <v>1157.74872</v>
      </c>
      <c r="I484" s="299">
        <v>0</v>
      </c>
      <c r="J484" s="1428">
        <v>1157.748</v>
      </c>
      <c r="K484" s="422">
        <v>1157.74872</v>
      </c>
      <c r="L484" s="334">
        <v>0</v>
      </c>
      <c r="M484" s="305">
        <v>0</v>
      </c>
      <c r="N484" s="294">
        <v>0</v>
      </c>
      <c r="O484" s="109">
        <v>0</v>
      </c>
      <c r="P484" s="1808">
        <v>0</v>
      </c>
      <c r="Q484" s="493">
        <v>0</v>
      </c>
      <c r="R484" s="1719">
        <f t="shared" si="27"/>
        <v>0</v>
      </c>
      <c r="S484" s="109">
        <v>0</v>
      </c>
      <c r="T484" s="110">
        <v>0</v>
      </c>
      <c r="U484" s="328">
        <v>0</v>
      </c>
      <c r="V484" s="330">
        <v>0</v>
      </c>
      <c r="W484" s="303" t="s">
        <v>776</v>
      </c>
      <c r="X484" s="303" t="s">
        <v>866</v>
      </c>
      <c r="Y484" s="309" t="s">
        <v>305</v>
      </c>
      <c r="Z484" s="198" t="s">
        <v>829</v>
      </c>
      <c r="AA484" s="198" t="s">
        <v>829</v>
      </c>
    </row>
    <row r="485" spans="1:27" s="464" customFormat="1" ht="25.5" x14ac:dyDescent="0.25">
      <c r="A485" s="301" t="s">
        <v>735</v>
      </c>
      <c r="B485" s="302" t="s">
        <v>1567</v>
      </c>
      <c r="C485" s="303">
        <v>2019</v>
      </c>
      <c r="D485" s="68" t="s">
        <v>801</v>
      </c>
      <c r="E485" s="450" t="s">
        <v>536</v>
      </c>
      <c r="F485" s="304" t="s">
        <v>536</v>
      </c>
      <c r="G485" s="164" t="s">
        <v>690</v>
      </c>
      <c r="H485" s="299">
        <v>399.72228999999999</v>
      </c>
      <c r="I485" s="299">
        <v>0</v>
      </c>
      <c r="J485" s="1428">
        <v>399.72229000000004</v>
      </c>
      <c r="K485" s="422">
        <v>399.72228999999999</v>
      </c>
      <c r="L485" s="334">
        <v>0</v>
      </c>
      <c r="M485" s="305">
        <v>0</v>
      </c>
      <c r="N485" s="294">
        <v>0</v>
      </c>
      <c r="O485" s="109">
        <v>0</v>
      </c>
      <c r="P485" s="1808">
        <v>0</v>
      </c>
      <c r="Q485" s="493">
        <v>0</v>
      </c>
      <c r="R485" s="1719">
        <f t="shared" si="27"/>
        <v>0</v>
      </c>
      <c r="S485" s="109">
        <v>0</v>
      </c>
      <c r="T485" s="110">
        <v>0</v>
      </c>
      <c r="U485" s="328">
        <v>0</v>
      </c>
      <c r="V485" s="330">
        <v>0</v>
      </c>
      <c r="W485" s="303" t="s">
        <v>776</v>
      </c>
      <c r="X485" s="303" t="s">
        <v>866</v>
      </c>
      <c r="Y485" s="309" t="s">
        <v>305</v>
      </c>
      <c r="Z485" s="198" t="s">
        <v>829</v>
      </c>
      <c r="AA485" s="198" t="s">
        <v>829</v>
      </c>
    </row>
    <row r="486" spans="1:27" ht="25.5" x14ac:dyDescent="0.25">
      <c r="A486" s="260" t="s">
        <v>736</v>
      </c>
      <c r="B486" s="266" t="s">
        <v>794</v>
      </c>
      <c r="C486" s="270">
        <v>2019</v>
      </c>
      <c r="D486" s="5" t="s">
        <v>801</v>
      </c>
      <c r="E486" s="279" t="s">
        <v>970</v>
      </c>
      <c r="F486" s="273" t="s">
        <v>970</v>
      </c>
      <c r="G486" s="548" t="s">
        <v>691</v>
      </c>
      <c r="H486" s="268">
        <v>5000</v>
      </c>
      <c r="I486" s="268">
        <v>0</v>
      </c>
      <c r="J486" s="677">
        <v>0</v>
      </c>
      <c r="K486" s="181">
        <v>0</v>
      </c>
      <c r="L486" s="1547">
        <v>0</v>
      </c>
      <c r="M486" s="274">
        <v>0</v>
      </c>
      <c r="N486" s="248">
        <v>0</v>
      </c>
      <c r="O486" s="30">
        <v>0</v>
      </c>
      <c r="P486" s="1806">
        <v>0</v>
      </c>
      <c r="Q486" s="1807">
        <v>0</v>
      </c>
      <c r="R486" s="1715">
        <f t="shared" si="27"/>
        <v>0</v>
      </c>
      <c r="S486" s="30">
        <v>0</v>
      </c>
      <c r="T486" s="29">
        <v>0</v>
      </c>
      <c r="U486" s="318">
        <v>5000</v>
      </c>
      <c r="V486" s="329">
        <v>0</v>
      </c>
      <c r="W486" s="270" t="s">
        <v>776</v>
      </c>
      <c r="X486" s="270" t="s">
        <v>20</v>
      </c>
      <c r="Y486" s="280" t="s">
        <v>1171</v>
      </c>
      <c r="Z486" s="195" t="s">
        <v>828</v>
      </c>
      <c r="AA486" s="195" t="s">
        <v>828</v>
      </c>
    </row>
    <row r="487" spans="1:27" s="464" customFormat="1" ht="25.5" x14ac:dyDescent="0.25">
      <c r="A487" s="1015" t="s">
        <v>737</v>
      </c>
      <c r="B487" s="1064" t="s">
        <v>1584</v>
      </c>
      <c r="C487" s="983">
        <v>2019</v>
      </c>
      <c r="D487" s="461" t="s">
        <v>801</v>
      </c>
      <c r="E487" s="1016" t="s">
        <v>479</v>
      </c>
      <c r="F487" s="1017" t="s">
        <v>479</v>
      </c>
      <c r="G487" s="1018" t="s">
        <v>692</v>
      </c>
      <c r="H487" s="453">
        <v>780.74159999999995</v>
      </c>
      <c r="I487" s="453">
        <v>0</v>
      </c>
      <c r="J487" s="1439">
        <v>839.875</v>
      </c>
      <c r="K487" s="585">
        <v>780.74159999999995</v>
      </c>
      <c r="L487" s="1548">
        <v>0</v>
      </c>
      <c r="M487" s="1019">
        <v>0</v>
      </c>
      <c r="N487" s="979">
        <v>0</v>
      </c>
      <c r="O487" s="980">
        <v>0</v>
      </c>
      <c r="P487" s="1886">
        <v>59.133400000000002</v>
      </c>
      <c r="Q487" s="1457">
        <v>-59.133400000000002</v>
      </c>
      <c r="R487" s="1721">
        <f t="shared" si="27"/>
        <v>0</v>
      </c>
      <c r="S487" s="980">
        <v>0</v>
      </c>
      <c r="T487" s="982">
        <v>0</v>
      </c>
      <c r="U487" s="1020">
        <v>0</v>
      </c>
      <c r="V487" s="1021">
        <v>0</v>
      </c>
      <c r="W487" s="983" t="s">
        <v>1723</v>
      </c>
      <c r="X487" s="983" t="s">
        <v>866</v>
      </c>
      <c r="Y487" s="1022" t="s">
        <v>562</v>
      </c>
      <c r="Z487" s="747" t="s">
        <v>829</v>
      </c>
      <c r="AA487" s="747" t="s">
        <v>829</v>
      </c>
    </row>
    <row r="488" spans="1:27" ht="35.25" customHeight="1" x14ac:dyDescent="0.25">
      <c r="A488" s="260" t="s">
        <v>738</v>
      </c>
      <c r="B488" s="266" t="s">
        <v>794</v>
      </c>
      <c r="C488" s="270">
        <v>2019</v>
      </c>
      <c r="D488" s="5" t="s">
        <v>801</v>
      </c>
      <c r="E488" s="279" t="s">
        <v>964</v>
      </c>
      <c r="F488" s="273" t="s">
        <v>964</v>
      </c>
      <c r="G488" s="548" t="s">
        <v>693</v>
      </c>
      <c r="H488" s="268">
        <v>3000</v>
      </c>
      <c r="I488" s="268">
        <v>0</v>
      </c>
      <c r="J488" s="677">
        <v>0</v>
      </c>
      <c r="K488" s="181">
        <v>0</v>
      </c>
      <c r="L488" s="1547">
        <v>0</v>
      </c>
      <c r="M488" s="274">
        <v>3000</v>
      </c>
      <c r="N488" s="248"/>
      <c r="O488" s="30">
        <v>0</v>
      </c>
      <c r="P488" s="1806">
        <v>3000</v>
      </c>
      <c r="Q488" s="1807">
        <v>0</v>
      </c>
      <c r="R488" s="1715">
        <f t="shared" si="27"/>
        <v>3000</v>
      </c>
      <c r="S488" s="30">
        <v>0</v>
      </c>
      <c r="T488" s="29">
        <v>0</v>
      </c>
      <c r="U488" s="318">
        <v>0</v>
      </c>
      <c r="V488" s="329">
        <v>0</v>
      </c>
      <c r="W488" s="270" t="s">
        <v>776</v>
      </c>
      <c r="X488" s="270" t="s">
        <v>20</v>
      </c>
      <c r="Y488" s="280" t="s">
        <v>883</v>
      </c>
      <c r="Z488" s="195" t="s">
        <v>828</v>
      </c>
      <c r="AA488" s="195" t="s">
        <v>828</v>
      </c>
    </row>
    <row r="489" spans="1:27" s="467" customFormat="1" ht="25.5" x14ac:dyDescent="0.25">
      <c r="A489" s="301" t="s">
        <v>739</v>
      </c>
      <c r="B489" s="302" t="s">
        <v>1224</v>
      </c>
      <c r="C489" s="303">
        <v>2019</v>
      </c>
      <c r="D489" s="68" t="s">
        <v>801</v>
      </c>
      <c r="E489" s="450" t="s">
        <v>538</v>
      </c>
      <c r="F489" s="304" t="s">
        <v>538</v>
      </c>
      <c r="G489" s="164" t="s">
        <v>694</v>
      </c>
      <c r="H489" s="299">
        <v>1410.4970000000001</v>
      </c>
      <c r="I489" s="299">
        <v>0</v>
      </c>
      <c r="J489" s="1428">
        <v>1410.4970000000001</v>
      </c>
      <c r="K489" s="422">
        <v>1410.4970000000001</v>
      </c>
      <c r="L489" s="334">
        <v>0</v>
      </c>
      <c r="M489" s="305">
        <v>0</v>
      </c>
      <c r="N489" s="294">
        <v>0</v>
      </c>
      <c r="O489" s="109">
        <v>0</v>
      </c>
      <c r="P489" s="1808">
        <v>0</v>
      </c>
      <c r="Q489" s="493">
        <v>0</v>
      </c>
      <c r="R489" s="1719">
        <f t="shared" si="27"/>
        <v>0</v>
      </c>
      <c r="S489" s="109">
        <v>0</v>
      </c>
      <c r="T489" s="110">
        <v>0</v>
      </c>
      <c r="U489" s="328">
        <v>0</v>
      </c>
      <c r="V489" s="451">
        <v>0</v>
      </c>
      <c r="W489" s="68" t="s">
        <v>776</v>
      </c>
      <c r="X489" s="303" t="s">
        <v>866</v>
      </c>
      <c r="Y489" s="309" t="s">
        <v>767</v>
      </c>
      <c r="Z489" s="198" t="s">
        <v>829</v>
      </c>
      <c r="AA489" s="198" t="s">
        <v>829</v>
      </c>
    </row>
    <row r="490" spans="1:27" s="467" customFormat="1" ht="25.5" x14ac:dyDescent="0.25">
      <c r="A490" s="301" t="s">
        <v>740</v>
      </c>
      <c r="B490" s="302" t="s">
        <v>1128</v>
      </c>
      <c r="C490" s="303">
        <v>2019</v>
      </c>
      <c r="D490" s="68" t="s">
        <v>801</v>
      </c>
      <c r="E490" s="450" t="s">
        <v>538</v>
      </c>
      <c r="F490" s="304" t="s">
        <v>538</v>
      </c>
      <c r="G490" s="164" t="s">
        <v>695</v>
      </c>
      <c r="H490" s="299">
        <v>4826.652</v>
      </c>
      <c r="I490" s="299">
        <v>0</v>
      </c>
      <c r="J490" s="1428">
        <v>1500</v>
      </c>
      <c r="K490" s="422">
        <v>1500</v>
      </c>
      <c r="L490" s="334">
        <v>0</v>
      </c>
      <c r="M490" s="305">
        <v>0</v>
      </c>
      <c r="N490" s="294">
        <v>0</v>
      </c>
      <c r="O490" s="109">
        <v>0</v>
      </c>
      <c r="P490" s="1808">
        <v>0</v>
      </c>
      <c r="Q490" s="493">
        <v>0</v>
      </c>
      <c r="R490" s="1719">
        <f t="shared" si="27"/>
        <v>0</v>
      </c>
      <c r="S490" s="109">
        <v>3326.652</v>
      </c>
      <c r="T490" s="110">
        <v>0</v>
      </c>
      <c r="U490" s="328">
        <v>0</v>
      </c>
      <c r="V490" s="328">
        <v>0</v>
      </c>
      <c r="W490" s="68" t="s">
        <v>776</v>
      </c>
      <c r="X490" s="303" t="s">
        <v>866</v>
      </c>
      <c r="Y490" s="309" t="s">
        <v>650</v>
      </c>
      <c r="Z490" s="198" t="s">
        <v>829</v>
      </c>
      <c r="AA490" s="198" t="s">
        <v>829</v>
      </c>
    </row>
    <row r="491" spans="1:27" ht="34.5" customHeight="1" x14ac:dyDescent="0.25">
      <c r="A491" s="266" t="s">
        <v>741</v>
      </c>
      <c r="B491" s="266" t="s">
        <v>794</v>
      </c>
      <c r="C491" s="270">
        <v>2019</v>
      </c>
      <c r="D491" s="5" t="s">
        <v>801</v>
      </c>
      <c r="E491" s="279" t="s">
        <v>560</v>
      </c>
      <c r="F491" s="273" t="s">
        <v>560</v>
      </c>
      <c r="G491" s="548" t="s">
        <v>696</v>
      </c>
      <c r="H491" s="268">
        <v>6000</v>
      </c>
      <c r="I491" s="268">
        <v>0</v>
      </c>
      <c r="J491" s="677">
        <v>0</v>
      </c>
      <c r="K491" s="181">
        <v>0</v>
      </c>
      <c r="L491" s="1547">
        <v>3000</v>
      </c>
      <c r="M491" s="274">
        <v>3000</v>
      </c>
      <c r="N491" s="248">
        <v>0</v>
      </c>
      <c r="O491" s="30">
        <v>0</v>
      </c>
      <c r="P491" s="1806">
        <v>6000</v>
      </c>
      <c r="Q491" s="1807">
        <v>0</v>
      </c>
      <c r="R491" s="1715">
        <f t="shared" si="27"/>
        <v>6000</v>
      </c>
      <c r="S491" s="30">
        <v>0</v>
      </c>
      <c r="T491" s="29">
        <v>0</v>
      </c>
      <c r="U491" s="318">
        <v>0</v>
      </c>
      <c r="V491" s="329">
        <v>0</v>
      </c>
      <c r="W491" s="270" t="s">
        <v>776</v>
      </c>
      <c r="X491" s="270" t="s">
        <v>14</v>
      </c>
      <c r="Y491" s="280" t="s">
        <v>883</v>
      </c>
      <c r="Z491" s="195" t="s">
        <v>828</v>
      </c>
      <c r="AA491" s="195" t="s">
        <v>828</v>
      </c>
    </row>
    <row r="492" spans="1:27" s="464" customFormat="1" ht="30" x14ac:dyDescent="0.25">
      <c r="A492" s="301" t="s">
        <v>742</v>
      </c>
      <c r="B492" s="302" t="s">
        <v>1498</v>
      </c>
      <c r="C492" s="303">
        <v>2019</v>
      </c>
      <c r="D492" s="68" t="s">
        <v>801</v>
      </c>
      <c r="E492" s="450" t="s">
        <v>697</v>
      </c>
      <c r="F492" s="304" t="s">
        <v>697</v>
      </c>
      <c r="G492" s="164" t="s">
        <v>698</v>
      </c>
      <c r="H492" s="299">
        <v>1913.8389999999999</v>
      </c>
      <c r="I492" s="299">
        <v>0</v>
      </c>
      <c r="J492" s="1428">
        <v>1913.8389999999999</v>
      </c>
      <c r="K492" s="422">
        <v>1913.8389999999999</v>
      </c>
      <c r="L492" s="334">
        <v>0</v>
      </c>
      <c r="M492" s="305">
        <v>0</v>
      </c>
      <c r="N492" s="294">
        <v>0</v>
      </c>
      <c r="O492" s="109">
        <v>0</v>
      </c>
      <c r="P492" s="1808">
        <v>0</v>
      </c>
      <c r="Q492" s="493">
        <v>0</v>
      </c>
      <c r="R492" s="1719">
        <f t="shared" si="27"/>
        <v>0</v>
      </c>
      <c r="S492" s="109">
        <v>0</v>
      </c>
      <c r="T492" s="110">
        <v>0</v>
      </c>
      <c r="U492" s="328">
        <v>0</v>
      </c>
      <c r="V492" s="330">
        <v>0</v>
      </c>
      <c r="W492" s="303" t="s">
        <v>776</v>
      </c>
      <c r="X492" s="303" t="s">
        <v>866</v>
      </c>
      <c r="Y492" s="309" t="s">
        <v>25</v>
      </c>
      <c r="Z492" s="198" t="s">
        <v>829</v>
      </c>
      <c r="AA492" s="198" t="s">
        <v>829</v>
      </c>
    </row>
    <row r="493" spans="1:27" ht="25.5" x14ac:dyDescent="0.25">
      <c r="A493" s="260" t="s">
        <v>743</v>
      </c>
      <c r="B493" s="266" t="s">
        <v>794</v>
      </c>
      <c r="C493" s="270">
        <v>2019</v>
      </c>
      <c r="D493" s="5" t="s">
        <v>801</v>
      </c>
      <c r="E493" s="279" t="s">
        <v>509</v>
      </c>
      <c r="F493" s="273" t="s">
        <v>509</v>
      </c>
      <c r="G493" s="548" t="s">
        <v>699</v>
      </c>
      <c r="H493" s="268">
        <v>700</v>
      </c>
      <c r="I493" s="268">
        <v>0</v>
      </c>
      <c r="J493" s="677">
        <v>0</v>
      </c>
      <c r="K493" s="181">
        <v>0</v>
      </c>
      <c r="L493" s="1547">
        <v>0</v>
      </c>
      <c r="M493" s="274">
        <v>700</v>
      </c>
      <c r="N493" s="248">
        <v>0</v>
      </c>
      <c r="O493" s="30">
        <v>0</v>
      </c>
      <c r="P493" s="1806">
        <v>700</v>
      </c>
      <c r="Q493" s="1807">
        <v>0</v>
      </c>
      <c r="R493" s="1715">
        <f t="shared" si="27"/>
        <v>700</v>
      </c>
      <c r="S493" s="30">
        <v>0</v>
      </c>
      <c r="T493" s="29">
        <v>0</v>
      </c>
      <c r="U493" s="318">
        <v>0</v>
      </c>
      <c r="V493" s="329">
        <v>0</v>
      </c>
      <c r="W493" s="270" t="s">
        <v>776</v>
      </c>
      <c r="X493" s="270" t="s">
        <v>20</v>
      </c>
      <c r="Y493" s="280" t="s">
        <v>883</v>
      </c>
      <c r="Z493" s="195" t="s">
        <v>828</v>
      </c>
      <c r="AA493" s="195" t="s">
        <v>828</v>
      </c>
    </row>
    <row r="494" spans="1:27" ht="25.5" x14ac:dyDescent="0.25">
      <c r="A494" s="266" t="s">
        <v>744</v>
      </c>
      <c r="B494" s="266" t="s">
        <v>794</v>
      </c>
      <c r="C494" s="270">
        <v>2019</v>
      </c>
      <c r="D494" s="5" t="s">
        <v>801</v>
      </c>
      <c r="E494" s="279" t="s">
        <v>509</v>
      </c>
      <c r="F494" s="273" t="s">
        <v>509</v>
      </c>
      <c r="G494" s="548" t="s">
        <v>700</v>
      </c>
      <c r="H494" s="268">
        <v>900</v>
      </c>
      <c r="I494" s="268">
        <v>0</v>
      </c>
      <c r="J494" s="677">
        <v>0</v>
      </c>
      <c r="K494" s="181">
        <v>0</v>
      </c>
      <c r="L494" s="1547">
        <v>0</v>
      </c>
      <c r="M494" s="274">
        <v>0</v>
      </c>
      <c r="N494" s="248">
        <v>0</v>
      </c>
      <c r="O494" s="30">
        <v>900</v>
      </c>
      <c r="P494" s="1806">
        <v>900</v>
      </c>
      <c r="Q494" s="1807">
        <v>0</v>
      </c>
      <c r="R494" s="1715">
        <f t="shared" si="27"/>
        <v>900</v>
      </c>
      <c r="S494" s="30">
        <v>0</v>
      </c>
      <c r="T494" s="29">
        <v>0</v>
      </c>
      <c r="U494" s="318">
        <v>0</v>
      </c>
      <c r="V494" s="329">
        <v>0</v>
      </c>
      <c r="W494" s="270" t="s">
        <v>776</v>
      </c>
      <c r="X494" s="270" t="s">
        <v>20</v>
      </c>
      <c r="Y494" s="280" t="s">
        <v>883</v>
      </c>
      <c r="Z494" s="195" t="s">
        <v>828</v>
      </c>
      <c r="AA494" s="195" t="s">
        <v>828</v>
      </c>
    </row>
    <row r="495" spans="1:27" ht="26.25" thickBot="1" x14ac:dyDescent="0.3">
      <c r="A495" s="310" t="s">
        <v>745</v>
      </c>
      <c r="B495" s="310" t="s">
        <v>794</v>
      </c>
      <c r="C495" s="278">
        <v>2019</v>
      </c>
      <c r="D495" s="133" t="s">
        <v>801</v>
      </c>
      <c r="E495" s="311" t="s">
        <v>965</v>
      </c>
      <c r="F495" s="312" t="s">
        <v>965</v>
      </c>
      <c r="G495" s="554" t="s">
        <v>701</v>
      </c>
      <c r="H495" s="313">
        <v>3500</v>
      </c>
      <c r="I495" s="313">
        <v>0</v>
      </c>
      <c r="J495" s="678">
        <v>0</v>
      </c>
      <c r="K495" s="250">
        <v>0</v>
      </c>
      <c r="L495" s="1551">
        <v>0</v>
      </c>
      <c r="M495" s="656">
        <v>0</v>
      </c>
      <c r="N495" s="661">
        <v>3500</v>
      </c>
      <c r="O495" s="317">
        <v>0</v>
      </c>
      <c r="P495" s="1892">
        <v>3500</v>
      </c>
      <c r="Q495" s="1893">
        <v>0</v>
      </c>
      <c r="R495" s="1714">
        <f t="shared" si="27"/>
        <v>3500</v>
      </c>
      <c r="S495" s="317">
        <v>0</v>
      </c>
      <c r="T495" s="314">
        <v>0</v>
      </c>
      <c r="U495" s="315">
        <v>0</v>
      </c>
      <c r="V495" s="331">
        <v>0</v>
      </c>
      <c r="W495" s="278" t="s">
        <v>776</v>
      </c>
      <c r="X495" s="278" t="s">
        <v>20</v>
      </c>
      <c r="Y495" s="320" t="s">
        <v>883</v>
      </c>
      <c r="Z495" s="306" t="s">
        <v>828</v>
      </c>
      <c r="AA495" s="306" t="s">
        <v>828</v>
      </c>
    </row>
    <row r="496" spans="1:27" s="470" customFormat="1" ht="28.5" customHeight="1" x14ac:dyDescent="0.25">
      <c r="A496" s="632" t="s">
        <v>869</v>
      </c>
      <c r="B496" s="632" t="s">
        <v>1582</v>
      </c>
      <c r="C496" s="633">
        <v>2019</v>
      </c>
      <c r="D496" s="55" t="s">
        <v>922</v>
      </c>
      <c r="E496" s="642" t="s">
        <v>971</v>
      </c>
      <c r="F496" s="89" t="s">
        <v>971</v>
      </c>
      <c r="G496" s="643" t="s">
        <v>870</v>
      </c>
      <c r="H496" s="50">
        <v>5648.8720000000003</v>
      </c>
      <c r="I496" s="50">
        <v>0</v>
      </c>
      <c r="J496" s="1405">
        <v>5648.8719999999994</v>
      </c>
      <c r="K496" s="246">
        <v>5648.8720000000003</v>
      </c>
      <c r="L496" s="332">
        <v>0</v>
      </c>
      <c r="M496" s="99">
        <v>0</v>
      </c>
      <c r="N496" s="333">
        <v>0</v>
      </c>
      <c r="O496" s="12">
        <v>0</v>
      </c>
      <c r="P496" s="1743">
        <v>0</v>
      </c>
      <c r="Q496" s="1784">
        <v>0</v>
      </c>
      <c r="R496" s="1715">
        <f t="shared" si="27"/>
        <v>0</v>
      </c>
      <c r="S496" s="12">
        <v>0</v>
      </c>
      <c r="T496" s="13">
        <v>0</v>
      </c>
      <c r="U496" s="188">
        <v>0</v>
      </c>
      <c r="V496" s="188">
        <v>0</v>
      </c>
      <c r="W496" s="1446" t="s">
        <v>776</v>
      </c>
      <c r="X496" s="55" t="s">
        <v>46</v>
      </c>
      <c r="Y496" s="235" t="s">
        <v>883</v>
      </c>
      <c r="Z496" s="634" t="s">
        <v>829</v>
      </c>
      <c r="AA496" s="634" t="s">
        <v>829</v>
      </c>
    </row>
    <row r="497" spans="1:27" s="467" customFormat="1" ht="25.5" x14ac:dyDescent="0.25">
      <c r="A497" s="302" t="s">
        <v>871</v>
      </c>
      <c r="B497" s="302" t="s">
        <v>1469</v>
      </c>
      <c r="C497" s="303">
        <v>2019</v>
      </c>
      <c r="D497" s="76" t="s">
        <v>922</v>
      </c>
      <c r="E497" s="450" t="s">
        <v>519</v>
      </c>
      <c r="F497" s="304" t="s">
        <v>519</v>
      </c>
      <c r="G497" s="171" t="s">
        <v>872</v>
      </c>
      <c r="H497" s="299">
        <v>664.89499999999998</v>
      </c>
      <c r="I497" s="299">
        <v>0</v>
      </c>
      <c r="J497" s="1428">
        <v>664.89499999999998</v>
      </c>
      <c r="K497" s="422">
        <v>664.89499999999998</v>
      </c>
      <c r="L497" s="334">
        <v>0</v>
      </c>
      <c r="M497" s="305">
        <v>0</v>
      </c>
      <c r="N497" s="294">
        <v>0</v>
      </c>
      <c r="O497" s="109">
        <v>0</v>
      </c>
      <c r="P497" s="1808">
        <v>0</v>
      </c>
      <c r="Q497" s="493">
        <v>0</v>
      </c>
      <c r="R497" s="1719">
        <f t="shared" si="27"/>
        <v>0</v>
      </c>
      <c r="S497" s="109">
        <v>0</v>
      </c>
      <c r="T497" s="110">
        <v>0</v>
      </c>
      <c r="U497" s="328">
        <v>0</v>
      </c>
      <c r="V497" s="328">
        <v>0</v>
      </c>
      <c r="W497" s="68" t="s">
        <v>776</v>
      </c>
      <c r="X497" s="68" t="s">
        <v>866</v>
      </c>
      <c r="Y497" s="257" t="s">
        <v>563</v>
      </c>
      <c r="Z497" s="198" t="s">
        <v>829</v>
      </c>
      <c r="AA497" s="198" t="s">
        <v>829</v>
      </c>
    </row>
    <row r="498" spans="1:27" ht="25.5" x14ac:dyDescent="0.25">
      <c r="A498" s="266" t="s">
        <v>873</v>
      </c>
      <c r="B498" s="266" t="s">
        <v>794</v>
      </c>
      <c r="C498" s="270">
        <v>2019</v>
      </c>
      <c r="D498" s="4" t="s">
        <v>922</v>
      </c>
      <c r="E498" s="279" t="s">
        <v>958</v>
      </c>
      <c r="F498" s="273" t="s">
        <v>958</v>
      </c>
      <c r="G498" s="170" t="s">
        <v>874</v>
      </c>
      <c r="H498" s="268">
        <v>2000</v>
      </c>
      <c r="I498" s="268">
        <v>0</v>
      </c>
      <c r="J498" s="677">
        <v>0</v>
      </c>
      <c r="K498" s="181">
        <v>0</v>
      </c>
      <c r="L498" s="1547">
        <v>0</v>
      </c>
      <c r="M498" s="274">
        <v>0</v>
      </c>
      <c r="N498" s="248">
        <v>2000</v>
      </c>
      <c r="O498" s="30">
        <v>0</v>
      </c>
      <c r="P498" s="1806">
        <v>2000</v>
      </c>
      <c r="Q498" s="1807">
        <v>0</v>
      </c>
      <c r="R498" s="1715">
        <f t="shared" si="27"/>
        <v>2000</v>
      </c>
      <c r="S498" s="30">
        <v>0</v>
      </c>
      <c r="T498" s="29">
        <v>0</v>
      </c>
      <c r="U498" s="318">
        <v>0</v>
      </c>
      <c r="V498" s="318">
        <v>0</v>
      </c>
      <c r="W498" s="5" t="s">
        <v>776</v>
      </c>
      <c r="X498" s="5" t="s">
        <v>20</v>
      </c>
      <c r="Y498" s="280" t="s">
        <v>883</v>
      </c>
      <c r="Z498" s="195" t="s">
        <v>828</v>
      </c>
      <c r="AA498" s="195" t="s">
        <v>828</v>
      </c>
    </row>
    <row r="499" spans="1:27" s="464" customFormat="1" ht="30" x14ac:dyDescent="0.25">
      <c r="A499" s="1064" t="s">
        <v>875</v>
      </c>
      <c r="B499" s="1024" t="s">
        <v>1525</v>
      </c>
      <c r="C499" s="1025">
        <v>2019</v>
      </c>
      <c r="D499" s="714" t="s">
        <v>922</v>
      </c>
      <c r="E499" s="1016" t="s">
        <v>538</v>
      </c>
      <c r="F499" s="1017" t="s">
        <v>538</v>
      </c>
      <c r="G499" s="1026" t="s">
        <v>876</v>
      </c>
      <c r="H499" s="1027">
        <v>238.59100000000001</v>
      </c>
      <c r="I499" s="1027">
        <v>0</v>
      </c>
      <c r="J499" s="1439">
        <v>412.99800000000005</v>
      </c>
      <c r="K499" s="585">
        <v>238.59100000000001</v>
      </c>
      <c r="L499" s="1548">
        <v>0</v>
      </c>
      <c r="M499" s="1028">
        <v>0</v>
      </c>
      <c r="N499" s="1029">
        <v>0</v>
      </c>
      <c r="O499" s="1030">
        <v>0</v>
      </c>
      <c r="P499" s="1886">
        <v>174.40656999999999</v>
      </c>
      <c r="Q499" s="1894">
        <v>-174.40656999999999</v>
      </c>
      <c r="R499" s="1721">
        <f t="shared" si="27"/>
        <v>0</v>
      </c>
      <c r="S499" s="980">
        <v>0</v>
      </c>
      <c r="T499" s="1031">
        <v>0</v>
      </c>
      <c r="U499" s="1032">
        <v>0</v>
      </c>
      <c r="V499" s="1020">
        <v>0</v>
      </c>
      <c r="W499" s="983" t="s">
        <v>1724</v>
      </c>
      <c r="X499" s="461" t="s">
        <v>866</v>
      </c>
      <c r="Y499" s="1022" t="s">
        <v>562</v>
      </c>
      <c r="Z499" s="747" t="s">
        <v>828</v>
      </c>
      <c r="AA499" s="747" t="s">
        <v>828</v>
      </c>
    </row>
    <row r="500" spans="1:27" ht="25.5" x14ac:dyDescent="0.25">
      <c r="A500" s="951" t="s">
        <v>877</v>
      </c>
      <c r="B500" s="1033" t="s">
        <v>1523</v>
      </c>
      <c r="C500" s="1034">
        <v>2019</v>
      </c>
      <c r="D500" s="551" t="s">
        <v>922</v>
      </c>
      <c r="E500" s="987" t="s">
        <v>471</v>
      </c>
      <c r="F500" s="988" t="s">
        <v>471</v>
      </c>
      <c r="G500" s="1035" t="s">
        <v>909</v>
      </c>
      <c r="H500" s="1036">
        <v>9000</v>
      </c>
      <c r="I500" s="1036">
        <v>0</v>
      </c>
      <c r="J500" s="767">
        <v>5000</v>
      </c>
      <c r="K500" s="853">
        <v>4722.7340000000004</v>
      </c>
      <c r="L500" s="884">
        <v>277.26600000000002</v>
      </c>
      <c r="M500" s="923">
        <v>4000</v>
      </c>
      <c r="N500" s="1037">
        <v>0</v>
      </c>
      <c r="O500" s="1038">
        <v>0</v>
      </c>
      <c r="P500" s="1735">
        <v>4277.2659999999996</v>
      </c>
      <c r="Q500" s="1895">
        <v>0</v>
      </c>
      <c r="R500" s="1466">
        <f t="shared" si="27"/>
        <v>4277.2659999999996</v>
      </c>
      <c r="S500" s="993">
        <v>0</v>
      </c>
      <c r="T500" s="1040">
        <v>0</v>
      </c>
      <c r="U500" s="1041">
        <v>0</v>
      </c>
      <c r="V500" s="994">
        <v>0</v>
      </c>
      <c r="W500" s="553" t="s">
        <v>1725</v>
      </c>
      <c r="X500" s="553" t="s">
        <v>46</v>
      </c>
      <c r="Y500" s="996" t="s">
        <v>854</v>
      </c>
      <c r="Z500" s="776" t="s">
        <v>829</v>
      </c>
      <c r="AA500" s="776" t="s">
        <v>829</v>
      </c>
    </row>
    <row r="501" spans="1:27" ht="25.5" x14ac:dyDescent="0.25">
      <c r="A501" s="951" t="s">
        <v>878</v>
      </c>
      <c r="B501" s="1033" t="s">
        <v>1470</v>
      </c>
      <c r="C501" s="1034">
        <v>2019</v>
      </c>
      <c r="D501" s="551" t="s">
        <v>922</v>
      </c>
      <c r="E501" s="1042" t="s">
        <v>560</v>
      </c>
      <c r="F501" s="1043" t="s">
        <v>560</v>
      </c>
      <c r="G501" s="1044" t="s">
        <v>1154</v>
      </c>
      <c r="H501" s="1036">
        <v>3200</v>
      </c>
      <c r="I501" s="1036">
        <v>0</v>
      </c>
      <c r="J501" s="767">
        <v>2900</v>
      </c>
      <c r="K501" s="853">
        <v>1289.1500000000001</v>
      </c>
      <c r="L501" s="1039">
        <v>1610.85</v>
      </c>
      <c r="M501" s="923">
        <v>0</v>
      </c>
      <c r="N501" s="923">
        <v>0</v>
      </c>
      <c r="O501" s="1038">
        <v>0</v>
      </c>
      <c r="P501" s="1896">
        <v>1610.85</v>
      </c>
      <c r="Q501" s="1895">
        <v>0</v>
      </c>
      <c r="R501" s="1466">
        <f t="shared" si="27"/>
        <v>1610.85</v>
      </c>
      <c r="S501" s="993">
        <v>0</v>
      </c>
      <c r="T501" s="1040">
        <v>300</v>
      </c>
      <c r="U501" s="1041">
        <v>0</v>
      </c>
      <c r="V501" s="994">
        <v>0</v>
      </c>
      <c r="W501" s="553" t="s">
        <v>1726</v>
      </c>
      <c r="X501" s="553" t="s">
        <v>46</v>
      </c>
      <c r="Y501" s="996" t="s">
        <v>883</v>
      </c>
      <c r="Z501" s="776" t="s">
        <v>829</v>
      </c>
      <c r="AA501" s="776" t="s">
        <v>829</v>
      </c>
    </row>
    <row r="502" spans="1:27" s="1400" customFormat="1" ht="35.25" customHeight="1" thickBot="1" x14ac:dyDescent="0.3">
      <c r="A502" s="1045" t="s">
        <v>879</v>
      </c>
      <c r="B502" s="441" t="s">
        <v>1583</v>
      </c>
      <c r="C502" s="440">
        <v>2019</v>
      </c>
      <c r="D502" s="360" t="s">
        <v>922</v>
      </c>
      <c r="E502" s="1046" t="s">
        <v>509</v>
      </c>
      <c r="F502" s="1047" t="s">
        <v>509</v>
      </c>
      <c r="G502" s="1048" t="s">
        <v>1727</v>
      </c>
      <c r="H502" s="1049">
        <v>1200</v>
      </c>
      <c r="I502" s="445">
        <v>0</v>
      </c>
      <c r="J502" s="1445">
        <v>1200</v>
      </c>
      <c r="K502" s="649">
        <v>1200</v>
      </c>
      <c r="L502" s="1573">
        <v>0</v>
      </c>
      <c r="M502" s="658">
        <v>0</v>
      </c>
      <c r="N502" s="666">
        <v>0</v>
      </c>
      <c r="O502" s="447">
        <v>0</v>
      </c>
      <c r="P502" s="1897">
        <v>0</v>
      </c>
      <c r="Q502" s="1898">
        <v>0</v>
      </c>
      <c r="R502" s="1720">
        <f t="shared" si="27"/>
        <v>0</v>
      </c>
      <c r="S502" s="447">
        <v>0</v>
      </c>
      <c r="T502" s="446">
        <v>0</v>
      </c>
      <c r="U502" s="1050">
        <v>0</v>
      </c>
      <c r="V502" s="1050">
        <v>0</v>
      </c>
      <c r="W502" s="1051" t="s">
        <v>776</v>
      </c>
      <c r="X502" s="191" t="s">
        <v>866</v>
      </c>
      <c r="Y502" s="1052" t="s">
        <v>305</v>
      </c>
      <c r="Z502" s="448" t="s">
        <v>829</v>
      </c>
      <c r="AA502" s="448" t="s">
        <v>829</v>
      </c>
    </row>
    <row r="503" spans="1:27" s="464" customFormat="1" ht="26.25" thickBot="1" x14ac:dyDescent="0.3">
      <c r="A503" s="1053" t="s">
        <v>926</v>
      </c>
      <c r="B503" s="1053" t="s">
        <v>1578</v>
      </c>
      <c r="C503" s="1054">
        <v>2019</v>
      </c>
      <c r="D503" s="744" t="s">
        <v>1150</v>
      </c>
      <c r="E503" s="1055" t="s">
        <v>471</v>
      </c>
      <c r="F503" s="1056" t="s">
        <v>471</v>
      </c>
      <c r="G503" s="1057" t="s">
        <v>927</v>
      </c>
      <c r="H503" s="1058">
        <v>254.82599999999999</v>
      </c>
      <c r="I503" s="1130">
        <v>0</v>
      </c>
      <c r="J503" s="1459">
        <v>260</v>
      </c>
      <c r="K503" s="1174">
        <v>254.82599999999999</v>
      </c>
      <c r="L503" s="1548">
        <v>0</v>
      </c>
      <c r="M503" s="1019">
        <v>0</v>
      </c>
      <c r="N503" s="1059">
        <v>0</v>
      </c>
      <c r="O503" s="981">
        <v>0</v>
      </c>
      <c r="P503" s="1899">
        <v>0</v>
      </c>
      <c r="Q503" s="1900">
        <v>0</v>
      </c>
      <c r="R503" s="1721">
        <f t="shared" si="27"/>
        <v>0</v>
      </c>
      <c r="S503" s="1060">
        <v>0</v>
      </c>
      <c r="T503" s="1060">
        <v>0</v>
      </c>
      <c r="U503" s="1061">
        <v>0</v>
      </c>
      <c r="V503" s="1061">
        <v>0</v>
      </c>
      <c r="W503" s="744" t="s">
        <v>1715</v>
      </c>
      <c r="X503" s="744" t="s">
        <v>866</v>
      </c>
      <c r="Y503" s="1063" t="s">
        <v>562</v>
      </c>
      <c r="Z503" s="1062" t="s">
        <v>828</v>
      </c>
      <c r="AA503" s="1062" t="s">
        <v>828</v>
      </c>
    </row>
    <row r="504" spans="1:27" s="1461" customFormat="1" ht="25.5" x14ac:dyDescent="0.25">
      <c r="A504" s="1064" t="s">
        <v>928</v>
      </c>
      <c r="B504" s="1053" t="s">
        <v>1579</v>
      </c>
      <c r="C504" s="983">
        <v>2019</v>
      </c>
      <c r="D504" s="461" t="s">
        <v>1150</v>
      </c>
      <c r="E504" s="1016" t="s">
        <v>471</v>
      </c>
      <c r="F504" s="1017" t="s">
        <v>471</v>
      </c>
      <c r="G504" s="1065" t="s">
        <v>929</v>
      </c>
      <c r="H504" s="453">
        <v>780.23800000000006</v>
      </c>
      <c r="I504" s="453">
        <v>0</v>
      </c>
      <c r="J504" s="1439">
        <v>790</v>
      </c>
      <c r="K504" s="585">
        <v>780.23800000000006</v>
      </c>
      <c r="L504" s="1548">
        <v>0</v>
      </c>
      <c r="M504" s="1019">
        <v>0</v>
      </c>
      <c r="N504" s="979">
        <v>0</v>
      </c>
      <c r="O504" s="980">
        <v>0</v>
      </c>
      <c r="P504" s="1886">
        <v>0</v>
      </c>
      <c r="Q504" s="1457">
        <v>0</v>
      </c>
      <c r="R504" s="1721">
        <f t="shared" si="27"/>
        <v>0</v>
      </c>
      <c r="S504" s="980">
        <v>0</v>
      </c>
      <c r="T504" s="980">
        <v>0</v>
      </c>
      <c r="U504" s="1020">
        <v>0</v>
      </c>
      <c r="V504" s="1020">
        <v>0</v>
      </c>
      <c r="W504" s="714" t="s">
        <v>1728</v>
      </c>
      <c r="X504" s="461" t="s">
        <v>866</v>
      </c>
      <c r="Y504" s="1023" t="s">
        <v>562</v>
      </c>
      <c r="Z504" s="747" t="s">
        <v>828</v>
      </c>
      <c r="AA504" s="747" t="s">
        <v>828</v>
      </c>
    </row>
    <row r="505" spans="1:27" ht="25.5" x14ac:dyDescent="0.25">
      <c r="A505" s="266" t="s">
        <v>930</v>
      </c>
      <c r="B505" s="260" t="s">
        <v>794</v>
      </c>
      <c r="C505" s="270">
        <v>2019</v>
      </c>
      <c r="D505" s="5" t="s">
        <v>1150</v>
      </c>
      <c r="E505" s="279" t="s">
        <v>697</v>
      </c>
      <c r="F505" s="273" t="s">
        <v>697</v>
      </c>
      <c r="G505" s="556" t="s">
        <v>931</v>
      </c>
      <c r="H505" s="268">
        <v>1500</v>
      </c>
      <c r="I505" s="268">
        <v>0</v>
      </c>
      <c r="J505" s="677">
        <v>0</v>
      </c>
      <c r="K505" s="181">
        <v>0</v>
      </c>
      <c r="L505" s="1547">
        <v>0</v>
      </c>
      <c r="M505" s="274">
        <v>750</v>
      </c>
      <c r="N505" s="248">
        <v>750</v>
      </c>
      <c r="O505" s="30">
        <v>0</v>
      </c>
      <c r="P505" s="1806">
        <v>1500</v>
      </c>
      <c r="Q505" s="1807">
        <v>0</v>
      </c>
      <c r="R505" s="1715">
        <f t="shared" si="27"/>
        <v>1500</v>
      </c>
      <c r="S505" s="30">
        <v>0</v>
      </c>
      <c r="T505" s="30">
        <v>0</v>
      </c>
      <c r="U505" s="318">
        <v>0</v>
      </c>
      <c r="V505" s="318">
        <v>0</v>
      </c>
      <c r="W505" s="5" t="s">
        <v>776</v>
      </c>
      <c r="X505" s="5" t="s">
        <v>20</v>
      </c>
      <c r="Y505" s="271" t="s">
        <v>883</v>
      </c>
      <c r="Z505" s="195" t="s">
        <v>828</v>
      </c>
      <c r="AA505" s="195" t="s">
        <v>828</v>
      </c>
    </row>
    <row r="506" spans="1:27" ht="32.25" customHeight="1" x14ac:dyDescent="0.25">
      <c r="A506" s="266" t="s">
        <v>932</v>
      </c>
      <c r="B506" s="260" t="s">
        <v>794</v>
      </c>
      <c r="C506" s="270">
        <v>2019</v>
      </c>
      <c r="D506" s="5" t="s">
        <v>1150</v>
      </c>
      <c r="E506" s="279" t="s">
        <v>495</v>
      </c>
      <c r="F506" s="273" t="s">
        <v>495</v>
      </c>
      <c r="G506" s="556" t="s">
        <v>933</v>
      </c>
      <c r="H506" s="268">
        <v>680</v>
      </c>
      <c r="I506" s="268">
        <v>0</v>
      </c>
      <c r="J506" s="677">
        <v>0</v>
      </c>
      <c r="K506" s="181">
        <v>0</v>
      </c>
      <c r="L506" s="1547">
        <v>0</v>
      </c>
      <c r="M506" s="274">
        <v>0</v>
      </c>
      <c r="N506" s="248">
        <v>0</v>
      </c>
      <c r="O506" s="30">
        <v>0</v>
      </c>
      <c r="P506" s="1806">
        <v>0</v>
      </c>
      <c r="Q506" s="1807">
        <v>0</v>
      </c>
      <c r="R506" s="1715">
        <f t="shared" si="27"/>
        <v>0</v>
      </c>
      <c r="S506" s="30">
        <v>0</v>
      </c>
      <c r="T506" s="30">
        <v>0</v>
      </c>
      <c r="U506" s="318">
        <v>680</v>
      </c>
      <c r="V506" s="318">
        <v>0</v>
      </c>
      <c r="W506" s="5" t="s">
        <v>776</v>
      </c>
      <c r="X506" s="5" t="s">
        <v>20</v>
      </c>
      <c r="Y506" s="271" t="s">
        <v>310</v>
      </c>
      <c r="Z506" s="195" t="s">
        <v>828</v>
      </c>
      <c r="AA506" s="195" t="s">
        <v>828</v>
      </c>
    </row>
    <row r="507" spans="1:27" ht="25.5" x14ac:dyDescent="0.25">
      <c r="A507" s="266" t="s">
        <v>934</v>
      </c>
      <c r="B507" s="260" t="s">
        <v>794</v>
      </c>
      <c r="C507" s="270">
        <v>2019</v>
      </c>
      <c r="D507" s="5" t="s">
        <v>1150</v>
      </c>
      <c r="E507" s="279" t="s">
        <v>495</v>
      </c>
      <c r="F507" s="273" t="s">
        <v>495</v>
      </c>
      <c r="G507" s="556" t="s">
        <v>690</v>
      </c>
      <c r="H507" s="268">
        <v>4869</v>
      </c>
      <c r="I507" s="268">
        <v>0</v>
      </c>
      <c r="J507" s="677">
        <v>0</v>
      </c>
      <c r="K507" s="181">
        <v>0</v>
      </c>
      <c r="L507" s="1547">
        <v>0</v>
      </c>
      <c r="M507" s="274">
        <v>0</v>
      </c>
      <c r="N507" s="248">
        <v>0</v>
      </c>
      <c r="O507" s="30">
        <v>0</v>
      </c>
      <c r="P507" s="1806">
        <v>0</v>
      </c>
      <c r="Q507" s="1807">
        <v>0</v>
      </c>
      <c r="R507" s="1715">
        <f t="shared" si="27"/>
        <v>0</v>
      </c>
      <c r="S507" s="30">
        <v>0</v>
      </c>
      <c r="T507" s="30">
        <v>0</v>
      </c>
      <c r="U507" s="318">
        <v>4869</v>
      </c>
      <c r="V507" s="318">
        <v>0</v>
      </c>
      <c r="W507" s="5" t="s">
        <v>776</v>
      </c>
      <c r="X507" s="5" t="s">
        <v>20</v>
      </c>
      <c r="Y507" s="271" t="s">
        <v>310</v>
      </c>
      <c r="Z507" s="195" t="s">
        <v>828</v>
      </c>
      <c r="AA507" s="195" t="s">
        <v>828</v>
      </c>
    </row>
    <row r="508" spans="1:27" ht="25.5" x14ac:dyDescent="0.25">
      <c r="A508" s="266" t="s">
        <v>935</v>
      </c>
      <c r="B508" s="260" t="s">
        <v>794</v>
      </c>
      <c r="C508" s="270">
        <v>2019</v>
      </c>
      <c r="D508" s="5" t="s">
        <v>1150</v>
      </c>
      <c r="E508" s="279" t="s">
        <v>529</v>
      </c>
      <c r="F508" s="273" t="s">
        <v>529</v>
      </c>
      <c r="G508" s="556" t="s">
        <v>936</v>
      </c>
      <c r="H508" s="268">
        <v>600</v>
      </c>
      <c r="I508" s="268">
        <v>0</v>
      </c>
      <c r="J508" s="677">
        <v>0</v>
      </c>
      <c r="K508" s="181">
        <v>0</v>
      </c>
      <c r="L508" s="1547">
        <v>0</v>
      </c>
      <c r="M508" s="274">
        <v>0</v>
      </c>
      <c r="N508" s="248">
        <v>0</v>
      </c>
      <c r="O508" s="30">
        <v>0</v>
      </c>
      <c r="P508" s="1806">
        <v>0</v>
      </c>
      <c r="Q508" s="1807">
        <v>0</v>
      </c>
      <c r="R508" s="1715">
        <f t="shared" si="27"/>
        <v>0</v>
      </c>
      <c r="S508" s="30">
        <v>0</v>
      </c>
      <c r="T508" s="30">
        <v>0</v>
      </c>
      <c r="U508" s="318">
        <v>600</v>
      </c>
      <c r="V508" s="318">
        <v>0</v>
      </c>
      <c r="W508" s="5" t="s">
        <v>776</v>
      </c>
      <c r="X508" s="5" t="s">
        <v>20</v>
      </c>
      <c r="Y508" s="271" t="s">
        <v>310</v>
      </c>
      <c r="Z508" s="195" t="s">
        <v>828</v>
      </c>
      <c r="AA508" s="195" t="s">
        <v>828</v>
      </c>
    </row>
    <row r="509" spans="1:27" ht="32.25" customHeight="1" x14ac:dyDescent="0.25">
      <c r="A509" s="266" t="s">
        <v>937</v>
      </c>
      <c r="B509" s="260" t="s">
        <v>794</v>
      </c>
      <c r="C509" s="270">
        <v>2019</v>
      </c>
      <c r="D509" s="5" t="s">
        <v>1150</v>
      </c>
      <c r="E509" s="279" t="s">
        <v>972</v>
      </c>
      <c r="F509" s="273" t="s">
        <v>972</v>
      </c>
      <c r="G509" s="556" t="s">
        <v>938</v>
      </c>
      <c r="H509" s="268">
        <v>12000</v>
      </c>
      <c r="I509" s="268">
        <v>0</v>
      </c>
      <c r="J509" s="677">
        <v>0</v>
      </c>
      <c r="K509" s="181">
        <v>0</v>
      </c>
      <c r="L509" s="1547">
        <v>0</v>
      </c>
      <c r="M509" s="274">
        <v>0</v>
      </c>
      <c r="N509" s="248">
        <v>0</v>
      </c>
      <c r="O509" s="30">
        <v>0</v>
      </c>
      <c r="P509" s="1806">
        <v>0</v>
      </c>
      <c r="Q509" s="1807">
        <v>0</v>
      </c>
      <c r="R509" s="1715">
        <f t="shared" si="27"/>
        <v>0</v>
      </c>
      <c r="S509" s="30">
        <v>0</v>
      </c>
      <c r="T509" s="30">
        <v>0</v>
      </c>
      <c r="U509" s="318">
        <v>12000</v>
      </c>
      <c r="V509" s="318">
        <v>0</v>
      </c>
      <c r="W509" s="5" t="s">
        <v>776</v>
      </c>
      <c r="X509" s="5" t="s">
        <v>20</v>
      </c>
      <c r="Y509" s="271" t="s">
        <v>310</v>
      </c>
      <c r="Z509" s="195" t="s">
        <v>828</v>
      </c>
      <c r="AA509" s="195" t="s">
        <v>828</v>
      </c>
    </row>
    <row r="510" spans="1:27" ht="25.5" x14ac:dyDescent="0.25">
      <c r="A510" s="266" t="s">
        <v>939</v>
      </c>
      <c r="B510" s="260" t="s">
        <v>794</v>
      </c>
      <c r="C510" s="270">
        <v>2019</v>
      </c>
      <c r="D510" s="5" t="s">
        <v>1150</v>
      </c>
      <c r="E510" s="279" t="s">
        <v>521</v>
      </c>
      <c r="F510" s="273" t="s">
        <v>521</v>
      </c>
      <c r="G510" s="556" t="s">
        <v>940</v>
      </c>
      <c r="H510" s="268">
        <v>1000</v>
      </c>
      <c r="I510" s="268">
        <v>0</v>
      </c>
      <c r="J510" s="677">
        <v>0</v>
      </c>
      <c r="K510" s="181">
        <v>0</v>
      </c>
      <c r="L510" s="1547">
        <v>0</v>
      </c>
      <c r="M510" s="274">
        <v>0</v>
      </c>
      <c r="N510" s="248">
        <v>0</v>
      </c>
      <c r="O510" s="30">
        <v>0</v>
      </c>
      <c r="P510" s="1806">
        <v>0</v>
      </c>
      <c r="Q510" s="1807">
        <v>0</v>
      </c>
      <c r="R510" s="1715">
        <f t="shared" si="27"/>
        <v>0</v>
      </c>
      <c r="S510" s="30">
        <v>0</v>
      </c>
      <c r="T510" s="30">
        <v>0</v>
      </c>
      <c r="U510" s="318">
        <v>1000</v>
      </c>
      <c r="V510" s="318">
        <v>0</v>
      </c>
      <c r="W510" s="5" t="s">
        <v>776</v>
      </c>
      <c r="X510" s="5" t="s">
        <v>20</v>
      </c>
      <c r="Y510" s="271" t="s">
        <v>310</v>
      </c>
      <c r="Z510" s="195" t="s">
        <v>828</v>
      </c>
      <c r="AA510" s="195" t="s">
        <v>828</v>
      </c>
    </row>
    <row r="511" spans="1:27" ht="25.5" x14ac:dyDescent="0.25">
      <c r="A511" s="266" t="s">
        <v>941</v>
      </c>
      <c r="B511" s="260" t="s">
        <v>794</v>
      </c>
      <c r="C511" s="270">
        <v>2019</v>
      </c>
      <c r="D511" s="5" t="s">
        <v>1150</v>
      </c>
      <c r="E511" s="279" t="s">
        <v>471</v>
      </c>
      <c r="F511" s="273" t="s">
        <v>471</v>
      </c>
      <c r="G511" s="556" t="s">
        <v>942</v>
      </c>
      <c r="H511" s="268">
        <v>8400</v>
      </c>
      <c r="I511" s="268">
        <v>0</v>
      </c>
      <c r="J511" s="677">
        <v>0</v>
      </c>
      <c r="K511" s="181">
        <v>0</v>
      </c>
      <c r="L511" s="1547">
        <v>0</v>
      </c>
      <c r="M511" s="274">
        <v>0</v>
      </c>
      <c r="N511" s="248">
        <v>0</v>
      </c>
      <c r="O511" s="30">
        <v>0</v>
      </c>
      <c r="P511" s="1806">
        <v>0</v>
      </c>
      <c r="Q511" s="1807">
        <v>0</v>
      </c>
      <c r="R511" s="1715">
        <f t="shared" si="27"/>
        <v>0</v>
      </c>
      <c r="S511" s="30">
        <v>0</v>
      </c>
      <c r="T511" s="30">
        <v>0</v>
      </c>
      <c r="U511" s="318">
        <v>8400</v>
      </c>
      <c r="V511" s="318">
        <v>0</v>
      </c>
      <c r="W511" s="5" t="s">
        <v>776</v>
      </c>
      <c r="X511" s="5" t="s">
        <v>20</v>
      </c>
      <c r="Y511" s="271" t="s">
        <v>310</v>
      </c>
      <c r="Z511" s="195" t="s">
        <v>828</v>
      </c>
      <c r="AA511" s="195" t="s">
        <v>828</v>
      </c>
    </row>
    <row r="512" spans="1:27" ht="30.75" x14ac:dyDescent="0.25">
      <c r="A512" s="266" t="s">
        <v>943</v>
      </c>
      <c r="B512" s="260" t="s">
        <v>794</v>
      </c>
      <c r="C512" s="270">
        <v>2019</v>
      </c>
      <c r="D512" s="5" t="s">
        <v>1150</v>
      </c>
      <c r="E512" s="279" t="s">
        <v>536</v>
      </c>
      <c r="F512" s="273" t="s">
        <v>536</v>
      </c>
      <c r="G512" s="556" t="s">
        <v>944</v>
      </c>
      <c r="H512" s="268">
        <v>1300</v>
      </c>
      <c r="I512" s="268">
        <v>0</v>
      </c>
      <c r="J512" s="677">
        <v>0</v>
      </c>
      <c r="K512" s="181">
        <v>0</v>
      </c>
      <c r="L512" s="1547">
        <v>0</v>
      </c>
      <c r="M512" s="274">
        <v>0</v>
      </c>
      <c r="N512" s="248">
        <v>0</v>
      </c>
      <c r="O512" s="30">
        <v>0</v>
      </c>
      <c r="P512" s="1806">
        <v>0</v>
      </c>
      <c r="Q512" s="1807">
        <v>0</v>
      </c>
      <c r="R512" s="1715">
        <f t="shared" si="27"/>
        <v>0</v>
      </c>
      <c r="S512" s="30">
        <v>0</v>
      </c>
      <c r="T512" s="30">
        <v>0</v>
      </c>
      <c r="U512" s="318">
        <v>1300</v>
      </c>
      <c r="V512" s="318">
        <v>0</v>
      </c>
      <c r="W512" s="5" t="s">
        <v>776</v>
      </c>
      <c r="X512" s="5" t="s">
        <v>20</v>
      </c>
      <c r="Y512" s="271" t="s">
        <v>310</v>
      </c>
      <c r="Z512" s="195" t="s">
        <v>828</v>
      </c>
      <c r="AA512" s="195" t="s">
        <v>828</v>
      </c>
    </row>
    <row r="513" spans="1:27" ht="30.75" x14ac:dyDescent="0.25">
      <c r="A513" s="266" t="s">
        <v>945</v>
      </c>
      <c r="B513" s="260" t="s">
        <v>794</v>
      </c>
      <c r="C513" s="270">
        <v>2019</v>
      </c>
      <c r="D513" s="5" t="s">
        <v>1150</v>
      </c>
      <c r="E513" s="279" t="s">
        <v>536</v>
      </c>
      <c r="F513" s="273" t="s">
        <v>536</v>
      </c>
      <c r="G513" s="556" t="s">
        <v>946</v>
      </c>
      <c r="H513" s="268">
        <v>1600</v>
      </c>
      <c r="I513" s="268">
        <v>0</v>
      </c>
      <c r="J513" s="677">
        <v>0</v>
      </c>
      <c r="K513" s="181">
        <v>0</v>
      </c>
      <c r="L513" s="1547">
        <v>0</v>
      </c>
      <c r="M513" s="274">
        <v>0</v>
      </c>
      <c r="N513" s="248">
        <v>0</v>
      </c>
      <c r="O513" s="30">
        <v>0</v>
      </c>
      <c r="P513" s="1806">
        <v>0</v>
      </c>
      <c r="Q513" s="1807">
        <v>0</v>
      </c>
      <c r="R513" s="1715">
        <f t="shared" ref="R513:R529" si="28">P513+Q513</f>
        <v>0</v>
      </c>
      <c r="S513" s="30">
        <v>0</v>
      </c>
      <c r="T513" s="30">
        <v>0</v>
      </c>
      <c r="U513" s="318">
        <v>1600</v>
      </c>
      <c r="V513" s="318">
        <v>0</v>
      </c>
      <c r="W513" s="5" t="s">
        <v>776</v>
      </c>
      <c r="X513" s="5" t="s">
        <v>20</v>
      </c>
      <c r="Y513" s="271" t="s">
        <v>310</v>
      </c>
      <c r="Z513" s="195" t="s">
        <v>828</v>
      </c>
      <c r="AA513" s="195" t="s">
        <v>828</v>
      </c>
    </row>
    <row r="514" spans="1:27" s="470" customFormat="1" ht="30" x14ac:dyDescent="0.25">
      <c r="A514" s="999" t="s">
        <v>947</v>
      </c>
      <c r="B514" s="998" t="s">
        <v>794</v>
      </c>
      <c r="C514" s="1000">
        <v>2019</v>
      </c>
      <c r="D514" s="580" t="s">
        <v>1150</v>
      </c>
      <c r="E514" s="1002" t="s">
        <v>12</v>
      </c>
      <c r="F514" s="1002" t="s">
        <v>1729</v>
      </c>
      <c r="G514" s="1066" t="s">
        <v>1730</v>
      </c>
      <c r="H514" s="1004">
        <v>21000</v>
      </c>
      <c r="I514" s="1004">
        <v>0</v>
      </c>
      <c r="J514" s="783">
        <v>0</v>
      </c>
      <c r="K514" s="1118">
        <v>0</v>
      </c>
      <c r="L514" s="1537">
        <v>0</v>
      </c>
      <c r="M514" s="1005">
        <v>300</v>
      </c>
      <c r="N514" s="1006">
        <v>5000</v>
      </c>
      <c r="O514" s="1009">
        <v>15700</v>
      </c>
      <c r="P514" s="1812">
        <v>21000</v>
      </c>
      <c r="Q514" s="1813">
        <v>0</v>
      </c>
      <c r="R514" s="1726">
        <f t="shared" si="28"/>
        <v>21000</v>
      </c>
      <c r="S514" s="1009">
        <v>0</v>
      </c>
      <c r="T514" s="1009">
        <v>0</v>
      </c>
      <c r="U514" s="1010">
        <v>0</v>
      </c>
      <c r="V514" s="1010">
        <v>0</v>
      </c>
      <c r="W514" s="580" t="s">
        <v>1731</v>
      </c>
      <c r="X514" s="580" t="s">
        <v>20</v>
      </c>
      <c r="Y514" s="1013" t="s">
        <v>854</v>
      </c>
      <c r="Z514" s="1014" t="s">
        <v>828</v>
      </c>
      <c r="AA514" s="1014" t="s">
        <v>828</v>
      </c>
    </row>
    <row r="515" spans="1:27" ht="25.5" x14ac:dyDescent="0.25">
      <c r="A515" s="266" t="s">
        <v>949</v>
      </c>
      <c r="B515" s="260" t="s">
        <v>794</v>
      </c>
      <c r="C515" s="270">
        <v>2019</v>
      </c>
      <c r="D515" s="5" t="s">
        <v>1150</v>
      </c>
      <c r="E515" s="279" t="s">
        <v>963</v>
      </c>
      <c r="F515" s="273" t="s">
        <v>963</v>
      </c>
      <c r="G515" s="556" t="s">
        <v>950</v>
      </c>
      <c r="H515" s="268">
        <v>840</v>
      </c>
      <c r="I515" s="268">
        <v>0</v>
      </c>
      <c r="J515" s="677">
        <v>0</v>
      </c>
      <c r="K515" s="181">
        <v>0</v>
      </c>
      <c r="L515" s="1547">
        <v>0</v>
      </c>
      <c r="M515" s="274">
        <v>0</v>
      </c>
      <c r="N515" s="248">
        <v>0</v>
      </c>
      <c r="O515" s="30">
        <v>0</v>
      </c>
      <c r="P515" s="1806">
        <v>0</v>
      </c>
      <c r="Q515" s="1807">
        <v>0</v>
      </c>
      <c r="R515" s="1715">
        <f t="shared" si="28"/>
        <v>0</v>
      </c>
      <c r="S515" s="30">
        <v>0</v>
      </c>
      <c r="T515" s="30">
        <v>0</v>
      </c>
      <c r="U515" s="318">
        <v>840</v>
      </c>
      <c r="V515" s="318">
        <v>0</v>
      </c>
      <c r="W515" s="5" t="s">
        <v>776</v>
      </c>
      <c r="X515" s="5" t="s">
        <v>20</v>
      </c>
      <c r="Y515" s="271" t="s">
        <v>310</v>
      </c>
      <c r="Z515" s="195" t="s">
        <v>828</v>
      </c>
      <c r="AA515" s="195" t="s">
        <v>828</v>
      </c>
    </row>
    <row r="516" spans="1:27" ht="25.5" x14ac:dyDescent="0.25">
      <c r="A516" s="266" t="s">
        <v>951</v>
      </c>
      <c r="B516" s="260" t="s">
        <v>794</v>
      </c>
      <c r="C516" s="270">
        <v>2019</v>
      </c>
      <c r="D516" s="5" t="s">
        <v>1150</v>
      </c>
      <c r="E516" s="279" t="s">
        <v>560</v>
      </c>
      <c r="F516" s="273" t="s">
        <v>560</v>
      </c>
      <c r="G516" s="556" t="s">
        <v>952</v>
      </c>
      <c r="H516" s="268">
        <v>1000</v>
      </c>
      <c r="I516" s="268">
        <v>0</v>
      </c>
      <c r="J516" s="677">
        <v>0</v>
      </c>
      <c r="K516" s="181">
        <v>0</v>
      </c>
      <c r="L516" s="1547">
        <v>1000</v>
      </c>
      <c r="M516" s="274">
        <v>0</v>
      </c>
      <c r="N516" s="248">
        <v>0</v>
      </c>
      <c r="O516" s="30">
        <v>0</v>
      </c>
      <c r="P516" s="1806">
        <v>1000</v>
      </c>
      <c r="Q516" s="1807">
        <v>0</v>
      </c>
      <c r="R516" s="1715">
        <f t="shared" si="28"/>
        <v>1000</v>
      </c>
      <c r="S516" s="30">
        <v>0</v>
      </c>
      <c r="T516" s="30">
        <v>0</v>
      </c>
      <c r="U516" s="318">
        <v>0</v>
      </c>
      <c r="V516" s="318">
        <v>0</v>
      </c>
      <c r="W516" s="5" t="s">
        <v>1732</v>
      </c>
      <c r="X516" s="5" t="s">
        <v>14</v>
      </c>
      <c r="Y516" s="271" t="s">
        <v>883</v>
      </c>
      <c r="Z516" s="195" t="s">
        <v>829</v>
      </c>
      <c r="AA516" s="195" t="s">
        <v>828</v>
      </c>
    </row>
    <row r="517" spans="1:27" ht="25.5" x14ac:dyDescent="0.25">
      <c r="A517" s="951" t="s">
        <v>953</v>
      </c>
      <c r="B517" s="986" t="s">
        <v>794</v>
      </c>
      <c r="C517" s="960">
        <v>2019</v>
      </c>
      <c r="D517" s="553" t="s">
        <v>1150</v>
      </c>
      <c r="E517" s="987" t="s">
        <v>12</v>
      </c>
      <c r="F517" s="988" t="s">
        <v>533</v>
      </c>
      <c r="G517" s="1067" t="s">
        <v>1015</v>
      </c>
      <c r="H517" s="990">
        <v>5800</v>
      </c>
      <c r="I517" s="990">
        <v>0</v>
      </c>
      <c r="J517" s="767">
        <v>3500</v>
      </c>
      <c r="K517" s="853">
        <v>0</v>
      </c>
      <c r="L517" s="1536">
        <v>3500</v>
      </c>
      <c r="M517" s="991">
        <v>0</v>
      </c>
      <c r="N517" s="923">
        <v>0</v>
      </c>
      <c r="O517" s="993">
        <v>2300</v>
      </c>
      <c r="P517" s="1735">
        <v>5800</v>
      </c>
      <c r="Q517" s="1810">
        <v>0</v>
      </c>
      <c r="R517" s="1466">
        <f t="shared" si="28"/>
        <v>5800</v>
      </c>
      <c r="S517" s="993">
        <v>0</v>
      </c>
      <c r="T517" s="993">
        <v>0</v>
      </c>
      <c r="U517" s="994">
        <v>0</v>
      </c>
      <c r="V517" s="994">
        <v>0</v>
      </c>
      <c r="W517" s="553" t="s">
        <v>1733</v>
      </c>
      <c r="X517" s="553" t="s">
        <v>14</v>
      </c>
      <c r="Y517" s="961" t="s">
        <v>883</v>
      </c>
      <c r="Z517" s="776" t="s">
        <v>828</v>
      </c>
      <c r="AA517" s="776" t="s">
        <v>828</v>
      </c>
    </row>
    <row r="518" spans="1:27" ht="25.5" x14ac:dyDescent="0.25">
      <c r="A518" s="951" t="s">
        <v>954</v>
      </c>
      <c r="B518" s="951" t="s">
        <v>794</v>
      </c>
      <c r="C518" s="960">
        <v>2019</v>
      </c>
      <c r="D518" s="553" t="s">
        <v>1150</v>
      </c>
      <c r="E518" s="987" t="s">
        <v>697</v>
      </c>
      <c r="F518" s="988" t="s">
        <v>697</v>
      </c>
      <c r="G518" s="1067" t="s">
        <v>1734</v>
      </c>
      <c r="H518" s="990">
        <v>4900</v>
      </c>
      <c r="I518" s="990">
        <v>0</v>
      </c>
      <c r="J518" s="767">
        <v>0</v>
      </c>
      <c r="K518" s="853">
        <v>0</v>
      </c>
      <c r="L518" s="1536">
        <v>0</v>
      </c>
      <c r="M518" s="991">
        <v>0</v>
      </c>
      <c r="N518" s="923">
        <v>0</v>
      </c>
      <c r="O518" s="993">
        <v>0</v>
      </c>
      <c r="P518" s="1735">
        <v>0</v>
      </c>
      <c r="Q518" s="1810">
        <v>0</v>
      </c>
      <c r="R518" s="1466">
        <f t="shared" si="28"/>
        <v>0</v>
      </c>
      <c r="S518" s="993">
        <v>0</v>
      </c>
      <c r="T518" s="993">
        <v>0</v>
      </c>
      <c r="U518" s="994">
        <v>4900</v>
      </c>
      <c r="V518" s="994">
        <v>0</v>
      </c>
      <c r="W518" s="553" t="s">
        <v>1735</v>
      </c>
      <c r="X518" s="553" t="s">
        <v>20</v>
      </c>
      <c r="Y518" s="961" t="s">
        <v>1171</v>
      </c>
      <c r="Z518" s="776" t="s">
        <v>828</v>
      </c>
      <c r="AA518" s="776" t="s">
        <v>828</v>
      </c>
    </row>
    <row r="519" spans="1:27" s="1399" customFormat="1" ht="26.25" thickBot="1" x14ac:dyDescent="0.3">
      <c r="A519" s="441" t="s">
        <v>1201</v>
      </c>
      <c r="B519" s="483" t="s">
        <v>1524</v>
      </c>
      <c r="C519" s="519">
        <v>2019</v>
      </c>
      <c r="D519" s="191" t="s">
        <v>1963</v>
      </c>
      <c r="E519" s="191" t="s">
        <v>948</v>
      </c>
      <c r="F519" s="191" t="s">
        <v>948</v>
      </c>
      <c r="G519" s="640" t="s">
        <v>1202</v>
      </c>
      <c r="H519" s="445">
        <v>857.86946999999998</v>
      </c>
      <c r="I519" s="445">
        <v>0</v>
      </c>
      <c r="J519" s="1445">
        <v>857.86946999999998</v>
      </c>
      <c r="K519" s="649">
        <v>857.86946999999998</v>
      </c>
      <c r="L519" s="680">
        <v>0</v>
      </c>
      <c r="M519" s="666">
        <v>0</v>
      </c>
      <c r="N519" s="666">
        <v>0</v>
      </c>
      <c r="O519" s="447">
        <v>0</v>
      </c>
      <c r="P519" s="1888">
        <v>0</v>
      </c>
      <c r="Q519" s="1898">
        <v>0</v>
      </c>
      <c r="R519" s="1720">
        <f t="shared" si="28"/>
        <v>0</v>
      </c>
      <c r="S519" s="447">
        <v>0</v>
      </c>
      <c r="T519" s="447">
        <v>0</v>
      </c>
      <c r="U519" s="1050">
        <v>0</v>
      </c>
      <c r="V519" s="1050">
        <v>0</v>
      </c>
      <c r="W519" s="191" t="s">
        <v>776</v>
      </c>
      <c r="X519" s="191" t="s">
        <v>866</v>
      </c>
      <c r="Y519" s="449" t="s">
        <v>305</v>
      </c>
      <c r="Z519" s="448" t="s">
        <v>829</v>
      </c>
      <c r="AA519" s="448" t="s">
        <v>829</v>
      </c>
    </row>
    <row r="520" spans="1:27" s="464" customFormat="1" ht="25.5" x14ac:dyDescent="0.25">
      <c r="A520" s="1015" t="s">
        <v>1417</v>
      </c>
      <c r="B520" s="1015" t="s">
        <v>1542</v>
      </c>
      <c r="C520" s="714">
        <v>2019</v>
      </c>
      <c r="D520" s="714" t="s">
        <v>1843</v>
      </c>
      <c r="E520" s="1127" t="s">
        <v>536</v>
      </c>
      <c r="F520" s="1128" t="s">
        <v>536</v>
      </c>
      <c r="G520" s="1129" t="s">
        <v>1418</v>
      </c>
      <c r="H520" s="1130">
        <v>450.40100000000001</v>
      </c>
      <c r="I520" s="1130">
        <v>0</v>
      </c>
      <c r="J520" s="1459">
        <v>600</v>
      </c>
      <c r="K520" s="1174">
        <v>450.40100000000001</v>
      </c>
      <c r="L520" s="1559">
        <v>0</v>
      </c>
      <c r="M520" s="978">
        <v>0</v>
      </c>
      <c r="N520" s="1059">
        <v>0</v>
      </c>
      <c r="O520" s="981">
        <v>0</v>
      </c>
      <c r="P520" s="1880">
        <v>149.59899999999999</v>
      </c>
      <c r="Q520" s="1901">
        <f t="shared" ref="Q520:Q522" si="29" xml:space="preserve"> -P520</f>
        <v>-149.59899999999999</v>
      </c>
      <c r="R520" s="1721">
        <f t="shared" si="28"/>
        <v>0</v>
      </c>
      <c r="S520" s="981">
        <v>0</v>
      </c>
      <c r="T520" s="981">
        <v>0</v>
      </c>
      <c r="U520" s="1132">
        <v>0</v>
      </c>
      <c r="V520" s="1132">
        <v>0</v>
      </c>
      <c r="W520" s="714" t="s">
        <v>1736</v>
      </c>
      <c r="X520" s="714" t="s">
        <v>866</v>
      </c>
      <c r="Y520" s="984" t="s">
        <v>305</v>
      </c>
      <c r="Z520" s="985" t="s">
        <v>829</v>
      </c>
      <c r="AA520" s="985" t="s">
        <v>829</v>
      </c>
    </row>
    <row r="521" spans="1:27" s="464" customFormat="1" ht="25.5" x14ac:dyDescent="0.25">
      <c r="A521" s="1064" t="s">
        <v>1419</v>
      </c>
      <c r="B521" s="1064" t="s">
        <v>1568</v>
      </c>
      <c r="C521" s="461">
        <v>2019</v>
      </c>
      <c r="D521" s="714" t="s">
        <v>1843</v>
      </c>
      <c r="E521" s="730" t="s">
        <v>536</v>
      </c>
      <c r="F521" s="1133" t="s">
        <v>536</v>
      </c>
      <c r="G521" s="1018" t="s">
        <v>1420</v>
      </c>
      <c r="H521" s="462">
        <v>456.75</v>
      </c>
      <c r="I521" s="453">
        <v>0</v>
      </c>
      <c r="J521" s="1439">
        <v>600</v>
      </c>
      <c r="K521" s="585">
        <v>456.75</v>
      </c>
      <c r="L521" s="1559">
        <v>0</v>
      </c>
      <c r="M521" s="978">
        <v>0</v>
      </c>
      <c r="N521" s="1059">
        <v>0</v>
      </c>
      <c r="O521" s="981">
        <v>0</v>
      </c>
      <c r="P521" s="1886">
        <v>143.25</v>
      </c>
      <c r="Q521" s="1901">
        <f t="shared" si="29"/>
        <v>-143.25</v>
      </c>
      <c r="R521" s="1721">
        <f t="shared" si="28"/>
        <v>0</v>
      </c>
      <c r="S521" s="980">
        <v>0</v>
      </c>
      <c r="T521" s="980">
        <v>0</v>
      </c>
      <c r="U521" s="1132">
        <v>0</v>
      </c>
      <c r="V521" s="1020">
        <v>0</v>
      </c>
      <c r="W521" s="714" t="s">
        <v>1737</v>
      </c>
      <c r="X521" s="714" t="s">
        <v>866</v>
      </c>
      <c r="Y521" s="984" t="s">
        <v>305</v>
      </c>
      <c r="Z521" s="985" t="s">
        <v>829</v>
      </c>
      <c r="AA521" s="985" t="s">
        <v>829</v>
      </c>
    </row>
    <row r="522" spans="1:27" s="464" customFormat="1" ht="25.5" x14ac:dyDescent="0.25">
      <c r="A522" s="1064" t="s">
        <v>1421</v>
      </c>
      <c r="B522" s="1064" t="s">
        <v>1580</v>
      </c>
      <c r="C522" s="461">
        <v>2019</v>
      </c>
      <c r="D522" s="714" t="s">
        <v>1843</v>
      </c>
      <c r="E522" s="1127" t="s">
        <v>471</v>
      </c>
      <c r="F522" s="1127" t="s">
        <v>471</v>
      </c>
      <c r="G522" s="1129" t="s">
        <v>1422</v>
      </c>
      <c r="H522" s="1130">
        <v>459</v>
      </c>
      <c r="I522" s="453">
        <v>0</v>
      </c>
      <c r="J522" s="1439">
        <v>460</v>
      </c>
      <c r="K522" s="585">
        <v>459</v>
      </c>
      <c r="L522" s="1559">
        <v>0</v>
      </c>
      <c r="M522" s="978">
        <v>0</v>
      </c>
      <c r="N522" s="1059">
        <v>0</v>
      </c>
      <c r="O522" s="981">
        <v>0</v>
      </c>
      <c r="P522" s="1886">
        <v>1</v>
      </c>
      <c r="Q522" s="1901">
        <f t="shared" si="29"/>
        <v>-1</v>
      </c>
      <c r="R522" s="1721">
        <f t="shared" si="28"/>
        <v>0</v>
      </c>
      <c r="S522" s="980">
        <v>0</v>
      </c>
      <c r="T522" s="980">
        <v>0</v>
      </c>
      <c r="U522" s="1132">
        <v>0</v>
      </c>
      <c r="V522" s="1020">
        <v>0</v>
      </c>
      <c r="W522" s="714" t="s">
        <v>1738</v>
      </c>
      <c r="X522" s="461" t="s">
        <v>866</v>
      </c>
      <c r="Y522" s="1023" t="s">
        <v>305</v>
      </c>
      <c r="Z522" s="747" t="s">
        <v>829</v>
      </c>
      <c r="AA522" s="747" t="s">
        <v>829</v>
      </c>
    </row>
    <row r="523" spans="1:27" s="464" customFormat="1" ht="25.5" x14ac:dyDescent="0.25">
      <c r="A523" s="1064" t="s">
        <v>1423</v>
      </c>
      <c r="B523" s="1064" t="s">
        <v>1577</v>
      </c>
      <c r="C523" s="461">
        <v>2019</v>
      </c>
      <c r="D523" s="714" t="s">
        <v>1843</v>
      </c>
      <c r="E523" s="1017" t="s">
        <v>471</v>
      </c>
      <c r="F523" s="1017" t="s">
        <v>471</v>
      </c>
      <c r="G523" s="1134" t="s">
        <v>1424</v>
      </c>
      <c r="H523" s="1704">
        <v>964.88565000000006</v>
      </c>
      <c r="I523" s="453">
        <v>0</v>
      </c>
      <c r="J523" s="1439">
        <v>980</v>
      </c>
      <c r="K523" s="585">
        <v>964.88565000000006</v>
      </c>
      <c r="L523" s="1559">
        <v>0</v>
      </c>
      <c r="M523" s="978">
        <v>0</v>
      </c>
      <c r="N523" s="1059">
        <v>0</v>
      </c>
      <c r="O523" s="981">
        <v>0</v>
      </c>
      <c r="P523" s="1886">
        <v>15.11435</v>
      </c>
      <c r="Q523" s="1901">
        <f xml:space="preserve"> -P523</f>
        <v>-15.11435</v>
      </c>
      <c r="R523" s="1721">
        <f t="shared" si="28"/>
        <v>0</v>
      </c>
      <c r="S523" s="980">
        <v>0</v>
      </c>
      <c r="T523" s="980">
        <v>0</v>
      </c>
      <c r="U523" s="1132">
        <v>0</v>
      </c>
      <c r="V523" s="1020">
        <v>0</v>
      </c>
      <c r="W523" s="714" t="s">
        <v>1739</v>
      </c>
      <c r="X523" s="461" t="s">
        <v>546</v>
      </c>
      <c r="Y523" s="1023" t="s">
        <v>305</v>
      </c>
      <c r="Z523" s="747" t="s">
        <v>829</v>
      </c>
      <c r="AA523" s="747" t="s">
        <v>829</v>
      </c>
    </row>
    <row r="524" spans="1:27" s="590" customFormat="1" ht="25.5" x14ac:dyDescent="0.25">
      <c r="A524" s="951" t="s">
        <v>1740</v>
      </c>
      <c r="B524" s="850" t="s">
        <v>1934</v>
      </c>
      <c r="C524" s="553">
        <v>2019</v>
      </c>
      <c r="D524" s="551" t="s">
        <v>1843</v>
      </c>
      <c r="E524" s="988" t="s">
        <v>471</v>
      </c>
      <c r="F524" s="988" t="s">
        <v>471</v>
      </c>
      <c r="G524" s="903" t="s">
        <v>1425</v>
      </c>
      <c r="H524" s="990">
        <v>800</v>
      </c>
      <c r="I524" s="990">
        <v>0</v>
      </c>
      <c r="J524" s="767">
        <v>800</v>
      </c>
      <c r="K524" s="853">
        <v>573.74879999999996</v>
      </c>
      <c r="L524" s="1554">
        <f>800-573.7488</f>
        <v>226.25120000000004</v>
      </c>
      <c r="M524" s="956">
        <v>0</v>
      </c>
      <c r="N524" s="957">
        <v>0</v>
      </c>
      <c r="O524" s="959">
        <v>0</v>
      </c>
      <c r="P524" s="1735">
        <f>800-573.7488</f>
        <v>226.25120000000004</v>
      </c>
      <c r="Q524" s="1902">
        <v>0</v>
      </c>
      <c r="R524" s="1466">
        <f t="shared" si="28"/>
        <v>226.25120000000004</v>
      </c>
      <c r="S524" s="993">
        <v>0</v>
      </c>
      <c r="T524" s="993">
        <v>0</v>
      </c>
      <c r="U524" s="1068">
        <v>0</v>
      </c>
      <c r="V524" s="994">
        <v>0</v>
      </c>
      <c r="W524" s="553" t="s">
        <v>1935</v>
      </c>
      <c r="X524" s="553" t="s">
        <v>46</v>
      </c>
      <c r="Y524" s="961" t="s">
        <v>883</v>
      </c>
      <c r="Z524" s="776" t="s">
        <v>829</v>
      </c>
      <c r="AA524" s="776" t="s">
        <v>829</v>
      </c>
    </row>
    <row r="525" spans="1:27" s="590" customFormat="1" ht="30.75" thickBot="1" x14ac:dyDescent="0.3">
      <c r="A525" s="1096" t="s">
        <v>1453</v>
      </c>
      <c r="B525" s="870" t="s">
        <v>1936</v>
      </c>
      <c r="C525" s="1097">
        <v>2019</v>
      </c>
      <c r="D525" s="1097" t="s">
        <v>1843</v>
      </c>
      <c r="E525" s="1098" t="s">
        <v>469</v>
      </c>
      <c r="F525" s="1099" t="s">
        <v>469</v>
      </c>
      <c r="G525" s="1100" t="s">
        <v>1454</v>
      </c>
      <c r="H525" s="1101">
        <v>800</v>
      </c>
      <c r="I525" s="1101">
        <v>0</v>
      </c>
      <c r="J525" s="1162">
        <v>800</v>
      </c>
      <c r="K525" s="1209">
        <f>670.7241+114.333</f>
        <v>785.05709999999999</v>
      </c>
      <c r="L525" s="1103">
        <f>800-785.0571</f>
        <v>14.942900000000009</v>
      </c>
      <c r="M525" s="1104">
        <v>0</v>
      </c>
      <c r="N525" s="1105">
        <v>0</v>
      </c>
      <c r="O525" s="1106">
        <v>0</v>
      </c>
      <c r="P525" s="1903">
        <f>800-785.0571</f>
        <v>14.942900000000009</v>
      </c>
      <c r="Q525" s="1904">
        <v>0</v>
      </c>
      <c r="R525" s="1724">
        <f t="shared" si="28"/>
        <v>14.942900000000009</v>
      </c>
      <c r="S525" s="1106">
        <v>0</v>
      </c>
      <c r="T525" s="1106">
        <v>0</v>
      </c>
      <c r="U525" s="1108">
        <v>0</v>
      </c>
      <c r="V525" s="1108">
        <v>0</v>
      </c>
      <c r="W525" s="871" t="s">
        <v>1937</v>
      </c>
      <c r="X525" s="871" t="s">
        <v>46</v>
      </c>
      <c r="Y525" s="1110" t="s">
        <v>883</v>
      </c>
      <c r="Z525" s="1109" t="s">
        <v>829</v>
      </c>
      <c r="AA525" s="1109" t="s">
        <v>829</v>
      </c>
    </row>
    <row r="526" spans="1:27" s="590" customFormat="1" ht="25.5" x14ac:dyDescent="0.25">
      <c r="A526" s="1082" t="s">
        <v>1741</v>
      </c>
      <c r="B526" s="1083" t="s">
        <v>794</v>
      </c>
      <c r="C526" s="436">
        <v>2020</v>
      </c>
      <c r="D526" s="436" t="s">
        <v>776</v>
      </c>
      <c r="E526" s="1084" t="s">
        <v>969</v>
      </c>
      <c r="F526" s="1085" t="s">
        <v>969</v>
      </c>
      <c r="G526" s="1086" t="s">
        <v>1742</v>
      </c>
      <c r="H526" s="1087">
        <v>5000</v>
      </c>
      <c r="I526" s="1087">
        <v>0</v>
      </c>
      <c r="J526" s="469">
        <v>0</v>
      </c>
      <c r="K526" s="457">
        <v>0</v>
      </c>
      <c r="L526" s="1091">
        <v>200</v>
      </c>
      <c r="M526" s="1090">
        <v>2400</v>
      </c>
      <c r="N526" s="1092">
        <v>2400</v>
      </c>
      <c r="O526" s="1093">
        <v>0</v>
      </c>
      <c r="P526" s="1905">
        <v>0</v>
      </c>
      <c r="Q526" s="1906">
        <v>5000</v>
      </c>
      <c r="R526" s="1487">
        <f t="shared" si="28"/>
        <v>5000</v>
      </c>
      <c r="S526" s="1093">
        <v>0</v>
      </c>
      <c r="T526" s="1093">
        <v>0</v>
      </c>
      <c r="U526" s="1094">
        <v>0</v>
      </c>
      <c r="V526" s="1094">
        <v>0</v>
      </c>
      <c r="W526" s="436" t="s">
        <v>1743</v>
      </c>
      <c r="X526" s="436" t="s">
        <v>20</v>
      </c>
      <c r="Y526" s="1095" t="s">
        <v>883</v>
      </c>
      <c r="Z526" s="707" t="s">
        <v>828</v>
      </c>
      <c r="AA526" s="707" t="s">
        <v>828</v>
      </c>
    </row>
    <row r="527" spans="1:27" s="590" customFormat="1" ht="30" x14ac:dyDescent="0.25">
      <c r="A527" s="1069" t="s">
        <v>1744</v>
      </c>
      <c r="B527" s="1070" t="s">
        <v>794</v>
      </c>
      <c r="C527" s="431">
        <v>2020</v>
      </c>
      <c r="D527" s="431" t="s">
        <v>776</v>
      </c>
      <c r="E527" s="1071" t="s">
        <v>1745</v>
      </c>
      <c r="F527" s="1072" t="s">
        <v>1745</v>
      </c>
      <c r="G527" s="1073" t="s">
        <v>1746</v>
      </c>
      <c r="H527" s="1074">
        <v>3000</v>
      </c>
      <c r="I527" s="1074">
        <v>0</v>
      </c>
      <c r="J527" s="458">
        <v>0</v>
      </c>
      <c r="K527" s="459">
        <v>0</v>
      </c>
      <c r="L527" s="1075">
        <v>1000</v>
      </c>
      <c r="M527" s="1076">
        <v>1000</v>
      </c>
      <c r="N527" s="1077">
        <v>0</v>
      </c>
      <c r="O527" s="1078">
        <v>0</v>
      </c>
      <c r="P527" s="1907">
        <v>0</v>
      </c>
      <c r="Q527" s="1908">
        <v>2000</v>
      </c>
      <c r="R527" s="1487">
        <f t="shared" si="28"/>
        <v>2000</v>
      </c>
      <c r="S527" s="1078">
        <v>1000</v>
      </c>
      <c r="T527" s="1078">
        <v>0</v>
      </c>
      <c r="U527" s="1079">
        <v>0</v>
      </c>
      <c r="V527" s="1079">
        <v>0</v>
      </c>
      <c r="W527" s="431" t="s">
        <v>1743</v>
      </c>
      <c r="X527" s="431" t="s">
        <v>14</v>
      </c>
      <c r="Y527" s="1080" t="s">
        <v>883</v>
      </c>
      <c r="Z527" s="713" t="s">
        <v>828</v>
      </c>
      <c r="AA527" s="713" t="s">
        <v>828</v>
      </c>
    </row>
    <row r="528" spans="1:27" s="590" customFormat="1" ht="30" x14ac:dyDescent="0.25">
      <c r="A528" s="1069" t="s">
        <v>1747</v>
      </c>
      <c r="B528" s="1070" t="s">
        <v>794</v>
      </c>
      <c r="C528" s="431">
        <v>2020</v>
      </c>
      <c r="D528" s="431" t="s">
        <v>776</v>
      </c>
      <c r="E528" s="1071" t="s">
        <v>971</v>
      </c>
      <c r="F528" s="1072" t="s">
        <v>971</v>
      </c>
      <c r="G528" s="1073" t="s">
        <v>1748</v>
      </c>
      <c r="H528" s="1074">
        <v>3000</v>
      </c>
      <c r="I528" s="1074">
        <v>0</v>
      </c>
      <c r="J528" s="507">
        <v>0</v>
      </c>
      <c r="K528" s="459">
        <v>0</v>
      </c>
      <c r="L528" s="1075">
        <v>0</v>
      </c>
      <c r="M528" s="1076">
        <v>1500</v>
      </c>
      <c r="N528" s="1077">
        <v>1500</v>
      </c>
      <c r="O528" s="1078">
        <v>0</v>
      </c>
      <c r="P528" s="1907">
        <v>0</v>
      </c>
      <c r="Q528" s="1908">
        <v>3000</v>
      </c>
      <c r="R528" s="1487">
        <f t="shared" si="28"/>
        <v>3000</v>
      </c>
      <c r="S528" s="1078">
        <v>0</v>
      </c>
      <c r="T528" s="1078">
        <v>0</v>
      </c>
      <c r="U528" s="1079">
        <v>0</v>
      </c>
      <c r="V528" s="1079">
        <v>0</v>
      </c>
      <c r="W528" s="431" t="s">
        <v>1743</v>
      </c>
      <c r="X528" s="431" t="s">
        <v>20</v>
      </c>
      <c r="Y528" s="1080" t="s">
        <v>883</v>
      </c>
      <c r="Z528" s="713" t="s">
        <v>828</v>
      </c>
      <c r="AA528" s="713" t="s">
        <v>828</v>
      </c>
    </row>
    <row r="529" spans="1:27" s="590" customFormat="1" ht="30" x14ac:dyDescent="0.25">
      <c r="A529" s="1069" t="s">
        <v>1749</v>
      </c>
      <c r="B529" s="1070" t="s">
        <v>794</v>
      </c>
      <c r="C529" s="431">
        <v>2020</v>
      </c>
      <c r="D529" s="431" t="s">
        <v>776</v>
      </c>
      <c r="E529" s="1071" t="s">
        <v>471</v>
      </c>
      <c r="F529" s="1072" t="s">
        <v>471</v>
      </c>
      <c r="G529" s="1073" t="s">
        <v>1750</v>
      </c>
      <c r="H529" s="1074">
        <v>6000</v>
      </c>
      <c r="I529" s="1074">
        <v>0</v>
      </c>
      <c r="J529" s="507">
        <v>0</v>
      </c>
      <c r="K529" s="459">
        <v>0</v>
      </c>
      <c r="L529" s="1075">
        <v>0</v>
      </c>
      <c r="M529" s="1076">
        <v>2000</v>
      </c>
      <c r="N529" s="1077">
        <v>4000</v>
      </c>
      <c r="O529" s="1078">
        <v>0</v>
      </c>
      <c r="P529" s="1907">
        <v>0</v>
      </c>
      <c r="Q529" s="1908">
        <v>6000</v>
      </c>
      <c r="R529" s="1487">
        <f t="shared" si="28"/>
        <v>6000</v>
      </c>
      <c r="S529" s="1078">
        <v>0</v>
      </c>
      <c r="T529" s="1078">
        <v>0</v>
      </c>
      <c r="U529" s="1079">
        <v>0</v>
      </c>
      <c r="V529" s="1079">
        <v>0</v>
      </c>
      <c r="W529" s="431" t="s">
        <v>1743</v>
      </c>
      <c r="X529" s="431" t="s">
        <v>20</v>
      </c>
      <c r="Y529" s="1080" t="s">
        <v>883</v>
      </c>
      <c r="Z529" s="713" t="s">
        <v>828</v>
      </c>
      <c r="AA529" s="713" t="s">
        <v>828</v>
      </c>
    </row>
    <row r="530" spans="1:27" ht="18" customHeight="1" thickBot="1" x14ac:dyDescent="0.3">
      <c r="A530" s="175"/>
      <c r="B530" s="218"/>
      <c r="C530" s="56"/>
      <c r="D530" s="56"/>
      <c r="E530" s="644"/>
      <c r="F530" s="645"/>
      <c r="G530" s="646"/>
      <c r="H530" s="1705"/>
      <c r="I530" s="1705"/>
      <c r="J530" s="326"/>
      <c r="K530" s="1910"/>
      <c r="L530" s="1492"/>
      <c r="M530" s="1493"/>
      <c r="N530" s="1494"/>
      <c r="O530" s="1495"/>
      <c r="P530" s="1742"/>
      <c r="Q530" s="652"/>
      <c r="R530" s="1715"/>
      <c r="S530" s="1213"/>
      <c r="T530" s="1212"/>
      <c r="U530" s="1212"/>
      <c r="V530" s="1212"/>
      <c r="W530" s="645"/>
      <c r="X530" s="645"/>
      <c r="Y530" s="647"/>
      <c r="Z530" s="645"/>
      <c r="AA530" s="645"/>
    </row>
    <row r="531" spans="1:27" ht="35.25" customHeight="1" thickBot="1" x14ac:dyDescent="0.3">
      <c r="A531" s="1496" t="s">
        <v>776</v>
      </c>
      <c r="B531" s="1497" t="s">
        <v>776</v>
      </c>
      <c r="C531" s="151" t="s">
        <v>776</v>
      </c>
      <c r="D531" s="112" t="s">
        <v>776</v>
      </c>
      <c r="E531" s="497" t="s">
        <v>776</v>
      </c>
      <c r="F531" s="151" t="s">
        <v>776</v>
      </c>
      <c r="G531" s="498" t="s">
        <v>898</v>
      </c>
      <c r="H531" s="96">
        <f t="shared" ref="H531:V531" si="30">SUM(H449:H530)</f>
        <v>278538.37832000002</v>
      </c>
      <c r="I531" s="96">
        <f t="shared" si="30"/>
        <v>4802.0999000000002</v>
      </c>
      <c r="J531" s="96">
        <f>SUM(J449:J530)</f>
        <v>87336.257460000023</v>
      </c>
      <c r="K531" s="96">
        <f t="shared" ref="K531:T531" si="31">SUM(K449:K530)</f>
        <v>72150.134240000029</v>
      </c>
      <c r="L531" s="96">
        <f t="shared" si="31"/>
        <v>24932.883629999997</v>
      </c>
      <c r="M531" s="96">
        <f t="shared" si="31"/>
        <v>49311.351999999999</v>
      </c>
      <c r="N531" s="96">
        <f t="shared" si="31"/>
        <v>32951.550000000003</v>
      </c>
      <c r="O531" s="96">
        <f t="shared" si="31"/>
        <v>20037</v>
      </c>
      <c r="P531" s="363">
        <f t="shared" si="31"/>
        <v>106165.32898000001</v>
      </c>
      <c r="Q531" s="96">
        <f t="shared" si="31"/>
        <v>21067.45665</v>
      </c>
      <c r="R531" s="96">
        <f t="shared" si="31"/>
        <v>127232.78563</v>
      </c>
      <c r="S531" s="96">
        <f t="shared" si="31"/>
        <v>4926.652</v>
      </c>
      <c r="T531" s="96">
        <f t="shared" si="31"/>
        <v>474.70654999999999</v>
      </c>
      <c r="U531" s="96">
        <f t="shared" si="30"/>
        <v>68952</v>
      </c>
      <c r="V531" s="96">
        <f t="shared" si="30"/>
        <v>0</v>
      </c>
      <c r="W531" s="128" t="s">
        <v>1938</v>
      </c>
      <c r="X531" s="97" t="s">
        <v>776</v>
      </c>
      <c r="Y531" s="681" t="s">
        <v>776</v>
      </c>
      <c r="Z531" s="97" t="s">
        <v>776</v>
      </c>
      <c r="AA531" s="102" t="s">
        <v>776</v>
      </c>
    </row>
    <row r="532" spans="1:27" ht="25.5" x14ac:dyDescent="0.25">
      <c r="A532" s="111" t="s">
        <v>540</v>
      </c>
      <c r="B532" s="93" t="s">
        <v>541</v>
      </c>
      <c r="C532" s="55">
        <v>2018</v>
      </c>
      <c r="D532" s="55" t="s">
        <v>800</v>
      </c>
      <c r="E532" s="89" t="s">
        <v>12</v>
      </c>
      <c r="F532" s="89" t="s">
        <v>12</v>
      </c>
      <c r="G532" s="165" t="s">
        <v>542</v>
      </c>
      <c r="H532" s="50">
        <v>31100</v>
      </c>
      <c r="I532" s="50">
        <v>1404.4888999999998</v>
      </c>
      <c r="J532" s="676">
        <v>770.96740000000136</v>
      </c>
      <c r="K532" s="214">
        <v>770.9674</v>
      </c>
      <c r="L532" s="332">
        <v>0</v>
      </c>
      <c r="M532" s="25">
        <v>0</v>
      </c>
      <c r="N532" s="420">
        <v>5000</v>
      </c>
      <c r="O532" s="2">
        <v>5000</v>
      </c>
      <c r="P532" s="1742">
        <v>10000</v>
      </c>
      <c r="Q532" s="652">
        <v>0</v>
      </c>
      <c r="R532" s="1715">
        <f t="shared" ref="R532" si="32">P532+Q532</f>
        <v>10000</v>
      </c>
      <c r="S532" s="3">
        <v>0</v>
      </c>
      <c r="T532" s="13">
        <v>0</v>
      </c>
      <c r="U532" s="2">
        <v>10000</v>
      </c>
      <c r="V532" s="2">
        <v>8924.5437000000002</v>
      </c>
      <c r="W532" s="121" t="s">
        <v>543</v>
      </c>
      <c r="X532" s="4" t="s">
        <v>20</v>
      </c>
      <c r="Y532" s="231" t="s">
        <v>883</v>
      </c>
      <c r="Z532" s="106" t="s">
        <v>791</v>
      </c>
      <c r="AA532" s="106" t="s">
        <v>829</v>
      </c>
    </row>
    <row r="533" spans="1:27" ht="18" customHeight="1" thickBot="1" x14ac:dyDescent="0.3">
      <c r="A533" s="175"/>
      <c r="B533" s="218"/>
      <c r="C533" s="56"/>
      <c r="D533" s="56"/>
      <c r="E533" s="496"/>
      <c r="F533" s="91"/>
      <c r="G533" s="502"/>
      <c r="H533" s="178"/>
      <c r="I533" s="178"/>
      <c r="J533" s="326"/>
      <c r="K533" s="226"/>
      <c r="L533" s="180"/>
      <c r="M533" s="251"/>
      <c r="N533" s="388"/>
      <c r="O533" s="8"/>
      <c r="P533" s="1742"/>
      <c r="Q533" s="652"/>
      <c r="R533" s="1715"/>
      <c r="S533" s="7"/>
      <c r="T533" s="7"/>
      <c r="U533" s="8"/>
      <c r="V533" s="49"/>
      <c r="W533" s="54"/>
      <c r="X533" s="9"/>
      <c r="Y533" s="245"/>
      <c r="Z533" s="137"/>
      <c r="AA533" s="137"/>
    </row>
    <row r="534" spans="1:27" ht="35.25" customHeight="1" thickBot="1" x14ac:dyDescent="0.3">
      <c r="A534" s="1496" t="s">
        <v>776</v>
      </c>
      <c r="B534" s="1497" t="s">
        <v>776</v>
      </c>
      <c r="C534" s="151" t="s">
        <v>776</v>
      </c>
      <c r="D534" s="112" t="s">
        <v>776</v>
      </c>
      <c r="E534" s="497" t="s">
        <v>776</v>
      </c>
      <c r="F534" s="151" t="s">
        <v>776</v>
      </c>
      <c r="G534" s="498" t="s">
        <v>897</v>
      </c>
      <c r="H534" s="96">
        <f>SUM(H532:H533)</f>
        <v>31100</v>
      </c>
      <c r="I534" s="96">
        <f>SUM(I532:I533)</f>
        <v>1404.4888999999998</v>
      </c>
      <c r="J534" s="96">
        <f>SUM(J532:J533)</f>
        <v>770.96740000000136</v>
      </c>
      <c r="K534" s="1406">
        <v>770.9674</v>
      </c>
      <c r="L534" s="96">
        <f t="shared" ref="L534:V534" si="33">SUM(L532:L533)</f>
        <v>0</v>
      </c>
      <c r="M534" s="96">
        <f t="shared" si="33"/>
        <v>0</v>
      </c>
      <c r="N534" s="96">
        <f t="shared" si="33"/>
        <v>5000</v>
      </c>
      <c r="O534" s="96">
        <f t="shared" si="33"/>
        <v>5000</v>
      </c>
      <c r="P534" s="363">
        <f t="shared" si="33"/>
        <v>10000</v>
      </c>
      <c r="Q534" s="96">
        <f t="shared" si="33"/>
        <v>0</v>
      </c>
      <c r="R534" s="96">
        <f t="shared" si="33"/>
        <v>10000</v>
      </c>
      <c r="S534" s="96">
        <f>SUM(S532:S533)</f>
        <v>0</v>
      </c>
      <c r="T534" s="96">
        <f>SUM(T532:T533)</f>
        <v>0</v>
      </c>
      <c r="U534" s="96">
        <f t="shared" si="33"/>
        <v>10000</v>
      </c>
      <c r="V534" s="96">
        <f t="shared" si="33"/>
        <v>8924.5437000000002</v>
      </c>
      <c r="W534" s="97" t="s">
        <v>1856</v>
      </c>
      <c r="X534" s="101" t="s">
        <v>776</v>
      </c>
      <c r="Y534" s="1517" t="s">
        <v>776</v>
      </c>
      <c r="Z534" s="101" t="s">
        <v>776</v>
      </c>
      <c r="AA534" s="105" t="s">
        <v>776</v>
      </c>
    </row>
    <row r="535" spans="1:27" ht="49.5" customHeight="1" thickBot="1" x14ac:dyDescent="0.3">
      <c r="A535" s="1685" t="s">
        <v>544</v>
      </c>
      <c r="B535" s="1686"/>
      <c r="C535" s="1686"/>
      <c r="D535" s="1686"/>
      <c r="E535" s="1686"/>
      <c r="F535" s="1686"/>
      <c r="G535" s="675" t="s">
        <v>1853</v>
      </c>
      <c r="H535" s="96">
        <f>SUM(H10+H25+H46+H229+H349+H402+H436+H441+H444+H448+H531+H534)</f>
        <v>7400219.9277430009</v>
      </c>
      <c r="I535" s="96">
        <f>SUM(I10+I25+I46+I229+I349+I402+I436+I441+I444+I448+I531+I534)</f>
        <v>1259281.6429099999</v>
      </c>
      <c r="J535" s="96">
        <f>SUM(J10+J25+J46+J229+J349+J402+J436+J441+J444+J448+J531+J534)</f>
        <v>1594175.5864900001</v>
      </c>
      <c r="K535" s="96">
        <f t="shared" ref="K535:V535" si="34">SUM(K10+K25+K46+K229+K349+K402+K436+K441+K444+K448+K531+K534)</f>
        <v>1263424.9932900001</v>
      </c>
      <c r="L535" s="96">
        <f t="shared" si="34"/>
        <v>351094.35931400006</v>
      </c>
      <c r="M535" s="96">
        <f t="shared" si="34"/>
        <v>463648.33846999996</v>
      </c>
      <c r="N535" s="96">
        <f t="shared" si="34"/>
        <v>393867.30628999998</v>
      </c>
      <c r="O535" s="96">
        <f t="shared" si="34"/>
        <v>538016.06826999993</v>
      </c>
      <c r="P535" s="363">
        <f t="shared" si="34"/>
        <v>1588375.5827499998</v>
      </c>
      <c r="Q535" s="96">
        <f t="shared" si="34"/>
        <v>158250.48959399998</v>
      </c>
      <c r="R535" s="96">
        <f t="shared" si="34"/>
        <v>1746626.0723439998</v>
      </c>
      <c r="S535" s="96">
        <f t="shared" si="34"/>
        <v>11464.652</v>
      </c>
      <c r="T535" s="96">
        <f t="shared" si="34"/>
        <v>209143.51146999997</v>
      </c>
      <c r="U535" s="96">
        <f t="shared" si="34"/>
        <v>1621719.7559100001</v>
      </c>
      <c r="V535" s="96">
        <f t="shared" si="34"/>
        <v>1288559.2998200001</v>
      </c>
      <c r="W535" s="128" t="s">
        <v>1939</v>
      </c>
      <c r="X535" s="101" t="s">
        <v>776</v>
      </c>
      <c r="Y535" s="1517" t="s">
        <v>776</v>
      </c>
      <c r="Z535" s="101" t="s">
        <v>776</v>
      </c>
      <c r="AA535" s="105" t="s">
        <v>776</v>
      </c>
    </row>
    <row r="536" spans="1:27" ht="26.25" customHeight="1" x14ac:dyDescent="0.25">
      <c r="A536" s="153"/>
      <c r="B536" s="92"/>
      <c r="C536" s="59"/>
      <c r="D536" s="59"/>
      <c r="E536" s="59" t="s">
        <v>546</v>
      </c>
      <c r="F536" s="59"/>
      <c r="G536" s="60"/>
      <c r="H536" s="323"/>
      <c r="I536" s="1911"/>
      <c r="J536" s="1911"/>
      <c r="K536" s="1911"/>
      <c r="L536" s="95"/>
      <c r="M536" s="95"/>
      <c r="N536" s="95"/>
      <c r="O536" s="95"/>
      <c r="P536" s="323"/>
      <c r="Q536" s="323"/>
      <c r="R536" s="323"/>
      <c r="S536" s="95"/>
      <c r="T536" s="95"/>
      <c r="U536" s="149"/>
      <c r="V536" s="149"/>
      <c r="W536" s="58"/>
      <c r="X536" s="58"/>
      <c r="Y536" s="108"/>
      <c r="Z536" s="108"/>
      <c r="AA536" s="108"/>
    </row>
    <row r="537" spans="1:27" ht="24" customHeight="1" x14ac:dyDescent="0.25">
      <c r="A537" s="153"/>
      <c r="B537" s="92"/>
      <c r="C537" s="59"/>
      <c r="D537" s="59"/>
      <c r="E537" s="59"/>
      <c r="F537" s="59"/>
      <c r="G537" s="166"/>
      <c r="H537" s="1912"/>
      <c r="I537" s="1912"/>
      <c r="J537" s="1913"/>
      <c r="K537" s="1914"/>
      <c r="L537" s="95"/>
      <c r="M537" s="95"/>
      <c r="N537" s="95"/>
      <c r="O537" s="95"/>
      <c r="P537" s="323"/>
      <c r="Q537" s="323"/>
      <c r="R537" s="323"/>
      <c r="S537" s="95"/>
      <c r="T537" s="95"/>
      <c r="U537" s="149"/>
      <c r="V537" s="149"/>
      <c r="W537" s="58"/>
      <c r="X537" s="58"/>
      <c r="Y537" s="108"/>
      <c r="Z537" s="108"/>
      <c r="AA537" s="108"/>
    </row>
    <row r="538" spans="1:27" ht="16.5" customHeight="1" thickBot="1" x14ac:dyDescent="0.3">
      <c r="A538" s="670"/>
      <c r="B538" s="671"/>
      <c r="C538" s="672"/>
      <c r="D538" s="672"/>
      <c r="E538" s="672"/>
      <c r="F538" s="672"/>
      <c r="G538" s="673"/>
      <c r="H538" s="1706"/>
      <c r="I538" s="1706"/>
      <c r="J538" s="1706"/>
      <c r="K538" s="1706"/>
      <c r="L538" s="60"/>
      <c r="M538" s="60"/>
      <c r="N538" s="60"/>
      <c r="O538" s="60"/>
      <c r="P538" s="1706"/>
      <c r="Q538" s="1706"/>
      <c r="R538" s="1706"/>
      <c r="S538" s="60"/>
      <c r="T538" s="60"/>
      <c r="U538" s="60"/>
      <c r="V538" s="60"/>
      <c r="W538" s="60"/>
      <c r="X538" s="325"/>
      <c r="Y538" s="674"/>
      <c r="Z538" s="674"/>
      <c r="AA538" s="674"/>
    </row>
    <row r="539" spans="1:27" ht="18" x14ac:dyDescent="0.25">
      <c r="A539" s="1660" t="s">
        <v>545</v>
      </c>
      <c r="B539" s="1661"/>
      <c r="C539" s="1662"/>
      <c r="D539" s="1663"/>
      <c r="E539" s="59" t="s">
        <v>546</v>
      </c>
      <c r="F539" s="59"/>
      <c r="G539" s="60"/>
      <c r="H539" s="1706"/>
      <c r="I539" s="1706"/>
      <c r="J539" s="1706"/>
      <c r="K539" s="1706"/>
      <c r="L539" s="60"/>
      <c r="M539" s="60"/>
      <c r="N539" s="60"/>
      <c r="O539" s="60"/>
      <c r="P539" s="1706"/>
      <c r="Q539" s="1706"/>
      <c r="R539" s="1706"/>
      <c r="S539" s="60"/>
      <c r="T539" s="60"/>
      <c r="U539" s="60"/>
      <c r="V539" s="60"/>
      <c r="W539" s="60"/>
      <c r="X539" s="108"/>
      <c r="Y539" s="108"/>
      <c r="Z539" s="108"/>
      <c r="AA539" s="108"/>
    </row>
    <row r="540" spans="1:27" s="297" customFormat="1" ht="27.75" customHeight="1" x14ac:dyDescent="0.25">
      <c r="A540" s="1664" t="s">
        <v>774</v>
      </c>
      <c r="B540" s="1646"/>
      <c r="C540" s="1656" t="s">
        <v>547</v>
      </c>
      <c r="D540" s="1657"/>
      <c r="E540" s="59"/>
      <c r="F540" s="59"/>
      <c r="G540" s="60"/>
      <c r="H540" s="323"/>
      <c r="I540" s="1911"/>
      <c r="J540" s="1911"/>
      <c r="K540" s="1911"/>
      <c r="L540" s="95"/>
      <c r="M540" s="95"/>
      <c r="N540" s="95"/>
      <c r="O540" s="95"/>
      <c r="P540" s="1740"/>
      <c r="Q540" s="1740"/>
      <c r="R540" s="1740"/>
      <c r="S540" s="95"/>
      <c r="T540" s="95"/>
      <c r="U540" s="149"/>
      <c r="V540" s="58"/>
      <c r="W540" s="58"/>
      <c r="X540" s="108"/>
      <c r="Y540" s="108"/>
      <c r="Z540" s="108"/>
      <c r="AA540" s="108"/>
    </row>
    <row r="541" spans="1:27" x14ac:dyDescent="0.25">
      <c r="A541" s="1644" t="s">
        <v>548</v>
      </c>
      <c r="B541" s="1645"/>
      <c r="C541" s="1646" t="s">
        <v>666</v>
      </c>
      <c r="D541" s="1647"/>
      <c r="E541" s="59"/>
      <c r="F541" s="59"/>
      <c r="G541" s="60"/>
      <c r="H541" s="323"/>
      <c r="I541" s="1911"/>
      <c r="J541" s="1911"/>
      <c r="K541" s="1911"/>
      <c r="L541" s="95"/>
      <c r="M541" s="95"/>
      <c r="N541" s="95"/>
      <c r="O541" s="95"/>
      <c r="P541" s="1740"/>
      <c r="Q541" s="1740"/>
      <c r="R541" s="1740"/>
      <c r="S541" s="95"/>
      <c r="T541" s="95"/>
      <c r="U541" s="149"/>
      <c r="V541" s="58"/>
      <c r="W541" s="58"/>
      <c r="X541" s="108"/>
      <c r="Y541" s="108"/>
      <c r="Z541" s="108"/>
      <c r="AA541" s="108"/>
    </row>
    <row r="542" spans="1:27" ht="21.75" customHeight="1" x14ac:dyDescent="0.25">
      <c r="A542" s="1648" t="s">
        <v>549</v>
      </c>
      <c r="B542" s="1649"/>
      <c r="C542" s="1646" t="s">
        <v>550</v>
      </c>
      <c r="D542" s="1647"/>
      <c r="E542" s="59" t="s">
        <v>546</v>
      </c>
      <c r="F542" s="59"/>
      <c r="G542" s="60"/>
      <c r="H542" s="323"/>
      <c r="I542" s="1911"/>
      <c r="J542" s="1911"/>
      <c r="K542" s="1911"/>
      <c r="L542" s="95"/>
      <c r="M542" s="95"/>
      <c r="N542" s="95"/>
      <c r="O542" s="95"/>
      <c r="P542" s="1740"/>
      <c r="Q542" s="1740"/>
      <c r="R542" s="1740"/>
      <c r="S542" s="95"/>
      <c r="T542" s="95"/>
      <c r="U542" s="149"/>
      <c r="V542" s="58"/>
      <c r="W542" s="58"/>
      <c r="X542" s="108"/>
      <c r="Y542" s="108"/>
      <c r="Z542" s="108"/>
      <c r="AA542" s="108"/>
    </row>
    <row r="543" spans="1:27" ht="33.75" customHeight="1" x14ac:dyDescent="0.25">
      <c r="A543" s="1654" t="s">
        <v>771</v>
      </c>
      <c r="B543" s="1655"/>
      <c r="C543" s="1646" t="s">
        <v>551</v>
      </c>
      <c r="D543" s="1647"/>
      <c r="E543" s="59"/>
      <c r="F543" s="59"/>
      <c r="G543" s="60"/>
      <c r="H543" s="323"/>
      <c r="I543" s="1911"/>
      <c r="J543" s="1911"/>
      <c r="K543" s="1911"/>
      <c r="L543" s="95"/>
      <c r="M543" s="95"/>
      <c r="N543" s="95"/>
      <c r="O543" s="95"/>
      <c r="P543" s="1740"/>
      <c r="Q543" s="1740"/>
      <c r="R543" s="1740"/>
      <c r="S543" s="95"/>
      <c r="T543" s="95"/>
      <c r="U543" s="149"/>
      <c r="V543" s="58"/>
      <c r="W543" s="58"/>
      <c r="X543" s="108"/>
      <c r="Y543" s="108"/>
      <c r="Z543" s="108"/>
      <c r="AA543" s="108"/>
    </row>
    <row r="544" spans="1:27" ht="33.75" customHeight="1" thickBot="1" x14ac:dyDescent="0.3">
      <c r="A544" s="1650" t="s">
        <v>773</v>
      </c>
      <c r="B544" s="1651"/>
      <c r="C544" s="1652" t="s">
        <v>552</v>
      </c>
      <c r="D544" s="1653"/>
      <c r="E544" s="59"/>
      <c r="F544" s="59"/>
      <c r="G544" s="60"/>
      <c r="H544" s="323"/>
      <c r="I544" s="1911"/>
      <c r="J544" s="1911"/>
      <c r="K544" s="1911"/>
      <c r="L544" s="95"/>
      <c r="M544" s="95"/>
      <c r="N544" s="95"/>
      <c r="O544" s="95"/>
      <c r="P544" s="1740"/>
      <c r="Q544" s="1740"/>
      <c r="R544" s="1740"/>
      <c r="S544" s="95"/>
      <c r="T544" s="95"/>
      <c r="U544" s="149"/>
      <c r="V544" s="58"/>
      <c r="W544" s="58"/>
      <c r="X544" s="108"/>
      <c r="Y544" s="108"/>
      <c r="Z544" s="108"/>
      <c r="AA544" s="108"/>
    </row>
    <row r="545" spans="1:27" ht="40.5" customHeight="1" thickBot="1" x14ac:dyDescent="0.3">
      <c r="A545" s="1639" t="s">
        <v>1017</v>
      </c>
      <c r="B545" s="1640"/>
      <c r="C545" s="1640"/>
      <c r="D545" s="1641"/>
      <c r="E545" s="59"/>
      <c r="F545" s="59"/>
      <c r="G545" s="60"/>
      <c r="H545" s="323"/>
      <c r="I545" s="1911"/>
      <c r="J545" s="1911"/>
      <c r="K545" s="1911"/>
      <c r="L545" s="95"/>
      <c r="M545" s="95"/>
      <c r="N545" s="95"/>
      <c r="O545" s="95"/>
      <c r="P545" s="1740"/>
      <c r="Q545" s="1740"/>
      <c r="R545" s="1740"/>
      <c r="S545" s="95"/>
      <c r="T545" s="95"/>
      <c r="U545" s="149"/>
      <c r="V545" s="58"/>
      <c r="W545" s="58"/>
      <c r="X545" s="108"/>
      <c r="Y545" s="108"/>
      <c r="Z545" s="108"/>
      <c r="AA545" s="108"/>
    </row>
    <row r="546" spans="1:27" ht="27" customHeight="1" thickBot="1" x14ac:dyDescent="0.3">
      <c r="A546" s="227"/>
      <c r="B546" s="227"/>
      <c r="C546" s="227"/>
      <c r="D546" s="227"/>
      <c r="E546" s="228" t="s">
        <v>1940</v>
      </c>
      <c r="F546" s="144"/>
      <c r="G546" s="167"/>
      <c r="H546" s="123" t="s">
        <v>1941</v>
      </c>
      <c r="I546" s="1911"/>
      <c r="J546" s="1911"/>
      <c r="K546" s="1911"/>
      <c r="L546" s="95"/>
      <c r="M546" s="95"/>
      <c r="N546" s="95"/>
      <c r="O546" s="95"/>
      <c r="P546" s="1740"/>
      <c r="Q546" s="1740"/>
      <c r="R546" s="1740"/>
      <c r="S546" s="95"/>
      <c r="T546" s="95"/>
      <c r="U546" s="149"/>
      <c r="V546" s="58"/>
      <c r="W546" s="58"/>
      <c r="X546" s="108"/>
      <c r="Y546" s="108"/>
      <c r="Z546" s="108"/>
      <c r="AA546" s="108"/>
    </row>
    <row r="547" spans="1:27" ht="44.25" customHeight="1" thickBot="1" x14ac:dyDescent="0.3">
      <c r="A547" s="153"/>
      <c r="B547" s="92"/>
      <c r="C547" s="59"/>
      <c r="D547" s="59"/>
      <c r="E547" s="147" t="s">
        <v>1849</v>
      </c>
      <c r="F547" s="154"/>
      <c r="G547" s="168"/>
      <c r="H547" s="124">
        <v>700</v>
      </c>
      <c r="I547" s="1911"/>
      <c r="J547" s="1911"/>
      <c r="K547" s="1911"/>
      <c r="L547" s="95"/>
      <c r="M547" s="95"/>
      <c r="N547" s="95"/>
      <c r="O547" s="95"/>
      <c r="P547" s="1740"/>
      <c r="Q547" s="1740"/>
      <c r="R547" s="1740"/>
      <c r="S547" s="95"/>
      <c r="T547" s="95"/>
      <c r="U547" s="149"/>
      <c r="V547" s="58"/>
      <c r="W547" s="58"/>
      <c r="X547" s="108"/>
      <c r="Y547" s="108"/>
      <c r="Z547" s="108"/>
      <c r="AA547" s="108"/>
    </row>
    <row r="548" spans="1:27" ht="22.5" customHeight="1" thickBot="1" x14ac:dyDescent="0.3">
      <c r="A548" s="153"/>
      <c r="B548" s="92"/>
      <c r="C548" s="59"/>
      <c r="D548" s="59"/>
      <c r="E548" s="1626" t="s">
        <v>1942</v>
      </c>
      <c r="F548" s="1627"/>
      <c r="G548" s="1628"/>
      <c r="H548" s="1629">
        <v>354</v>
      </c>
      <c r="I548" s="1911"/>
      <c r="J548" s="1911"/>
      <c r="K548" s="1911"/>
      <c r="L548" s="95"/>
      <c r="M548" s="95"/>
      <c r="N548" s="95"/>
      <c r="O548" s="95"/>
      <c r="P548" s="1740"/>
      <c r="Q548" s="1740"/>
      <c r="R548" s="1740"/>
      <c r="S548" s="95"/>
      <c r="T548" s="95"/>
      <c r="U548" s="149"/>
      <c r="V548" s="58"/>
      <c r="W548" s="58"/>
      <c r="X548" s="108"/>
      <c r="Y548" s="108"/>
      <c r="Z548" s="108"/>
      <c r="AA548" s="108"/>
    </row>
    <row r="549" spans="1:27" ht="22.5" customHeight="1" thickBot="1" x14ac:dyDescent="0.3">
      <c r="A549" s="153"/>
      <c r="B549" s="92"/>
      <c r="C549" s="59"/>
      <c r="D549" s="59"/>
      <c r="E549" s="146" t="s">
        <v>553</v>
      </c>
      <c r="F549" s="144"/>
      <c r="G549" s="167"/>
      <c r="H549" s="126">
        <f>H547+H548</f>
        <v>1054</v>
      </c>
      <c r="I549" s="1911"/>
      <c r="J549" s="1911"/>
      <c r="K549" s="1911"/>
      <c r="L549" s="95"/>
      <c r="M549" s="95"/>
      <c r="N549" s="95"/>
      <c r="O549" s="95"/>
      <c r="P549" s="1740"/>
      <c r="Q549" s="1740"/>
      <c r="R549" s="1740"/>
      <c r="S549" s="95"/>
      <c r="T549" s="95"/>
      <c r="U549" s="149"/>
      <c r="V549" s="58"/>
      <c r="W549" s="58"/>
      <c r="X549" s="108"/>
      <c r="Y549" s="108"/>
      <c r="Z549" s="108"/>
      <c r="AA549" s="108"/>
    </row>
    <row r="550" spans="1:27" ht="22.5" customHeight="1" thickBot="1" x14ac:dyDescent="0.3">
      <c r="A550" s="153"/>
      <c r="B550" s="92"/>
      <c r="C550" s="59"/>
      <c r="D550" s="59"/>
      <c r="E550" s="229"/>
      <c r="F550" s="230"/>
      <c r="G550" s="1700"/>
      <c r="H550" s="1701"/>
      <c r="I550" s="1911"/>
      <c r="J550" s="1911"/>
      <c r="K550" s="1911"/>
      <c r="L550" s="95"/>
      <c r="M550" s="95"/>
      <c r="N550" s="95"/>
      <c r="O550" s="95"/>
      <c r="P550" s="1740"/>
      <c r="Q550" s="1740"/>
      <c r="R550" s="1740"/>
      <c r="S550" s="95"/>
      <c r="T550" s="95"/>
      <c r="U550" s="149"/>
      <c r="V550" s="58"/>
      <c r="W550" s="58"/>
      <c r="X550" s="108"/>
      <c r="Y550" s="108"/>
      <c r="Z550" s="108"/>
      <c r="AA550" s="108"/>
    </row>
    <row r="551" spans="1:27" ht="22.5" customHeight="1" thickBot="1" x14ac:dyDescent="0.3">
      <c r="A551" s="153"/>
      <c r="B551" s="92"/>
      <c r="C551" s="59"/>
      <c r="D551" s="59" t="s">
        <v>546</v>
      </c>
      <c r="E551" s="228" t="s">
        <v>554</v>
      </c>
      <c r="F551" s="144"/>
      <c r="G551" s="167"/>
      <c r="H551" s="127"/>
      <c r="I551" s="1911"/>
      <c r="J551" s="1911"/>
      <c r="K551" s="1911"/>
      <c r="L551" s="95"/>
      <c r="M551" s="95"/>
      <c r="N551" s="95"/>
      <c r="O551" s="95"/>
      <c r="P551" s="1740"/>
      <c r="Q551" s="1740"/>
      <c r="R551" s="1740"/>
      <c r="S551" s="95"/>
      <c r="T551" s="95"/>
      <c r="U551" s="149"/>
      <c r="V551" s="58"/>
      <c r="W551" s="58"/>
      <c r="X551" s="108"/>
      <c r="Y551" s="108"/>
      <c r="Z551" s="108"/>
      <c r="AA551" s="108"/>
    </row>
    <row r="552" spans="1:27" ht="22.5" customHeight="1" thickBot="1" x14ac:dyDescent="0.3">
      <c r="A552" s="153"/>
      <c r="B552" s="92"/>
      <c r="C552" s="59"/>
      <c r="D552" s="59"/>
      <c r="E552" s="148" t="s">
        <v>1511</v>
      </c>
      <c r="F552" s="145"/>
      <c r="G552" s="169"/>
      <c r="H552" s="125">
        <v>1747</v>
      </c>
      <c r="I552" s="1911"/>
      <c r="J552" s="1911"/>
      <c r="K552" s="1915"/>
      <c r="L552" s="95"/>
      <c r="M552" s="95"/>
      <c r="N552" s="95"/>
      <c r="O552" s="95"/>
      <c r="P552" s="1740"/>
      <c r="Q552" s="1740"/>
      <c r="R552" s="1740"/>
      <c r="S552" s="95"/>
      <c r="T552" s="95"/>
      <c r="U552" s="149"/>
      <c r="V552" s="58"/>
      <c r="W552" s="58"/>
      <c r="X552" s="108"/>
      <c r="Y552" s="108"/>
      <c r="Z552" s="108"/>
      <c r="AA552" s="108"/>
    </row>
    <row r="553" spans="1:27" ht="22.5" customHeight="1" thickBot="1" x14ac:dyDescent="0.3">
      <c r="A553" s="153"/>
      <c r="B553" s="92"/>
      <c r="C553" s="59"/>
      <c r="D553" s="59"/>
      <c r="E553" s="146" t="s">
        <v>555</v>
      </c>
      <c r="F553" s="144"/>
      <c r="G553" s="167"/>
      <c r="H553" s="126">
        <f>SUM(H552:H552)</f>
        <v>1747</v>
      </c>
      <c r="I553" s="1911"/>
      <c r="J553" s="1911"/>
      <c r="K553" s="1911"/>
      <c r="L553" s="95"/>
      <c r="M553" s="95"/>
      <c r="N553" s="95"/>
      <c r="O553" s="95"/>
      <c r="P553" s="1740"/>
      <c r="Q553" s="1740"/>
      <c r="R553" s="1740"/>
      <c r="S553" s="95"/>
      <c r="T553" s="95"/>
      <c r="U553" s="149"/>
      <c r="V553" s="58"/>
      <c r="W553" s="58"/>
      <c r="X553" s="108"/>
      <c r="Y553" s="108"/>
      <c r="Z553" s="108"/>
      <c r="AA553" s="108"/>
    </row>
    <row r="554" spans="1:27" ht="22.5" customHeight="1" x14ac:dyDescent="0.25">
      <c r="A554" s="153"/>
      <c r="B554" s="92"/>
      <c r="C554" s="59"/>
      <c r="D554" s="59"/>
      <c r="E554" s="59"/>
      <c r="F554" s="59"/>
      <c r="G554" s="60"/>
      <c r="H554" s="324"/>
      <c r="I554" s="1916"/>
      <c r="J554" s="1916"/>
      <c r="K554" s="1916"/>
      <c r="L554" s="122"/>
      <c r="M554" s="122"/>
      <c r="N554" s="122"/>
      <c r="O554" s="122"/>
      <c r="P554" s="1741"/>
      <c r="Q554" s="1741"/>
      <c r="R554" s="1741"/>
      <c r="S554" s="122"/>
      <c r="T554" s="122"/>
      <c r="U554" s="150"/>
      <c r="V554" s="58"/>
      <c r="W554" s="58"/>
      <c r="X554" s="108"/>
      <c r="Y554" s="108"/>
      <c r="Z554" s="108"/>
      <c r="AA554" s="108"/>
    </row>
  </sheetData>
  <autoFilter ref="A4:AA537" xr:uid="{8E87C299-9865-4626-85FF-42465A073A1F}"/>
  <mergeCells count="38">
    <mergeCell ref="J2:J3"/>
    <mergeCell ref="G550:H550"/>
    <mergeCell ref="X1:AA1"/>
    <mergeCell ref="Z2:Z3"/>
    <mergeCell ref="P2:R2"/>
    <mergeCell ref="W2:W3"/>
    <mergeCell ref="X2:X3"/>
    <mergeCell ref="AA2:AA3"/>
    <mergeCell ref="S2:T2"/>
    <mergeCell ref="Y2:Y3"/>
    <mergeCell ref="V2:V3"/>
    <mergeCell ref="K2:K3"/>
    <mergeCell ref="U2:U3"/>
    <mergeCell ref="A543:B543"/>
    <mergeCell ref="C543:D543"/>
    <mergeCell ref="A541:B541"/>
    <mergeCell ref="A545:D545"/>
    <mergeCell ref="A544:B544"/>
    <mergeCell ref="C544:D544"/>
    <mergeCell ref="A542:B542"/>
    <mergeCell ref="C542:D542"/>
    <mergeCell ref="C541:D541"/>
    <mergeCell ref="A1:O1"/>
    <mergeCell ref="A540:B540"/>
    <mergeCell ref="C540:D540"/>
    <mergeCell ref="B2:B3"/>
    <mergeCell ref="H537:I537"/>
    <mergeCell ref="E2:E3"/>
    <mergeCell ref="C2:C3"/>
    <mergeCell ref="D2:D3"/>
    <mergeCell ref="G2:G3"/>
    <mergeCell ref="H2:H3"/>
    <mergeCell ref="A535:F535"/>
    <mergeCell ref="I2:I3"/>
    <mergeCell ref="A539:D539"/>
    <mergeCell ref="A2:A3"/>
    <mergeCell ref="F2:F3"/>
    <mergeCell ref="L2:O2"/>
  </mergeCells>
  <pageMargins left="0.70866141732283472" right="0.70866141732283472" top="0.78740157480314965" bottom="0.78740157480314965" header="0.31496062992125984" footer="0.31496062992125984"/>
  <pageSetup paperSize="8" scale="44" fitToHeight="0" orientation="landscape" r:id="rId1"/>
  <headerFooter>
    <oddFooter>&amp;L&amp;D&amp;Cstr.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AKTUÁLNÍ ZI zm. č.1</vt:lpstr>
      <vt:lpstr>'AKTUÁLNÍ ZI zm. č.1'!Názvy_tisku</vt:lpstr>
      <vt:lpstr>'AKTUÁLNÍ ZI zm. č.1'!Oblast_tisku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2020-01-13T08:07:41Z</dcterms:modified>
</cp:coreProperties>
</file>