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defaultThemeVersion="124226"/>
  <mc:AlternateContent xmlns:mc="http://schemas.openxmlformats.org/markup-compatibility/2006">
    <mc:Choice Requires="x15">
      <x15ac:absPath xmlns:x15ac="http://schemas.microsoft.com/office/spreadsheetml/2010/11/ac" url="T:\Oddeleni rozpoctu\ROZPOČET\SCHVÁLENÝ ROZPOČET\Rozpočet na rok 2025\"/>
    </mc:Choice>
  </mc:AlternateContent>
  <xr:revisionPtr revIDLastSave="0" documentId="13_ncr:1_{FB7A69A8-0D9C-456B-A55B-2D3824FB8279}" xr6:coauthVersionLast="47" xr6:coauthVersionMax="47" xr10:uidLastSave="{00000000-0000-0000-0000-000000000000}"/>
  <bookViews>
    <workbookView xWindow="-120" yWindow="-120" windowWidth="29040" windowHeight="15840" xr2:uid="{E1758481-B678-44FF-ADE2-4074A17FDC5E}"/>
  </bookViews>
  <sheets>
    <sheet name="Úvodní strana" sheetId="135" r:id="rId1"/>
    <sheet name="Bilance" sheetId="12" r:id="rId2"/>
    <sheet name="Sumář příjmů a výdajů" sheetId="47" r:id="rId3"/>
    <sheet name="Fondy" sheetId="2" r:id="rId4"/>
    <sheet name="Projekty EU a NZ" sheetId="140" r:id="rId5"/>
    <sheet name="Dluhová služba " sheetId="16" r:id="rId6"/>
    <sheet name="Kapitálové výdaje " sheetId="80" r:id="rId7"/>
    <sheet name="Kapitálové výdaje v kapitolách" sheetId="144" r:id="rId8"/>
    <sheet name="Specifické rezervy" sheetId="136" r:id="rId9"/>
    <sheet name="Příspěvky PO" sheetId="134" r:id="rId10"/>
    <sheet name="Běžné výdaje kapitol" sheetId="4" r:id="rId11"/>
    <sheet name="01" sheetId="120" r:id="rId12"/>
    <sheet name="02" sheetId="113" r:id="rId13"/>
    <sheet name="03" sheetId="112" r:id="rId14"/>
    <sheet name="04" sheetId="126" r:id="rId15"/>
    <sheet name="05" sheetId="130" r:id="rId16"/>
    <sheet name="06" sheetId="127" r:id="rId17"/>
    <sheet name="07" sheetId="114" r:id="rId18"/>
    <sheet name="08" sheetId="133" r:id="rId19"/>
    <sheet name="09" sheetId="110" r:id="rId20"/>
    <sheet name="10" sheetId="118" r:id="rId21"/>
    <sheet name="11" sheetId="109" r:id="rId22"/>
    <sheet name="13" sheetId="125" r:id="rId23"/>
    <sheet name="14" sheetId="138" r:id="rId24"/>
    <sheet name="15" sheetId="115" r:id="rId25"/>
    <sheet name="16" sheetId="145" r:id="rId26"/>
    <sheet name="17" sheetId="131" r:id="rId27"/>
    <sheet name="18" sheetId="119" r:id="rId28"/>
    <sheet name="23" sheetId="121" r:id="rId29"/>
    <sheet name="24" sheetId="137" r:id="rId30"/>
    <sheet name="25" sheetId="117" r:id="rId31"/>
    <sheet name="26" sheetId="142" r:id="rId32"/>
    <sheet name="27" sheetId="141" r:id="rId33"/>
    <sheet name="Kapitoly - shrnutí BV" sheetId="81" r:id="rId34"/>
    <sheet name="Semafor" sheetId="82" r:id="rId35"/>
  </sheets>
  <definedNames>
    <definedName name="_xlnm._FilterDatabase" localSheetId="15" hidden="1">'05'!$A$4:$N$112</definedName>
    <definedName name="_xlnm._FilterDatabase" localSheetId="26" hidden="1">'17'!#REF!</definedName>
    <definedName name="_Hlk523909286" localSheetId="18">'08'!#REF!</definedName>
    <definedName name="_xlnm.Print_Titles" localSheetId="15">'05'!$5:$7</definedName>
    <definedName name="_xlnm.Print_Titles" localSheetId="16">'06'!$5:$7</definedName>
    <definedName name="_xlnm.Print_Titles" localSheetId="18">'08'!$6:$7</definedName>
    <definedName name="_xlnm.Print_Titles" localSheetId="22">'13'!$5:$7</definedName>
    <definedName name="_xlnm.Print_Titles" localSheetId="26">'17'!$5:$7</definedName>
    <definedName name="_xlnm.Print_Titles" localSheetId="9">'Příspěvky PO'!$2:$4</definedName>
    <definedName name="_xlnm.Print_Titles" localSheetId="2">'Sumář příjmů a výdajů'!$2:$8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3" i="141" l="1"/>
  <c r="L13" i="141"/>
  <c r="M19" i="133"/>
  <c r="M25" i="110"/>
  <c r="B57" i="134" l="1"/>
  <c r="G10" i="134"/>
  <c r="H97" i="47"/>
  <c r="F63" i="134"/>
  <c r="E63" i="134"/>
  <c r="D63" i="134"/>
  <c r="F62" i="134"/>
  <c r="E62" i="134"/>
  <c r="D62" i="134"/>
  <c r="F61" i="134"/>
  <c r="E61" i="134"/>
  <c r="D61" i="134"/>
  <c r="F60" i="134"/>
  <c r="E60" i="134"/>
  <c r="D60" i="134"/>
  <c r="F59" i="134"/>
  <c r="E59" i="134"/>
  <c r="D59" i="134"/>
  <c r="F58" i="134"/>
  <c r="D58" i="134"/>
  <c r="F57" i="134"/>
  <c r="E57" i="134"/>
  <c r="D57" i="134"/>
  <c r="C63" i="134"/>
  <c r="C62" i="134"/>
  <c r="C61" i="134"/>
  <c r="C60" i="134"/>
  <c r="C59" i="134"/>
  <c r="C58" i="134"/>
  <c r="C57" i="134"/>
  <c r="B63" i="134"/>
  <c r="B62" i="134"/>
  <c r="B61" i="134"/>
  <c r="B60" i="134"/>
  <c r="B59" i="134"/>
  <c r="B58" i="134"/>
  <c r="H25" i="134"/>
  <c r="N90" i="130"/>
  <c r="N19" i="126"/>
  <c r="H28" i="2"/>
  <c r="Q13" i="81" l="1"/>
  <c r="G45" i="134"/>
  <c r="F73" i="47"/>
  <c r="E73" i="47"/>
  <c r="F72" i="47"/>
  <c r="E72" i="47"/>
  <c r="L120" i="131"/>
  <c r="N120" i="131" s="1"/>
  <c r="L11" i="109"/>
  <c r="N11" i="109" s="1"/>
  <c r="G52" i="127"/>
  <c r="L12" i="120"/>
  <c r="M11" i="109" l="1"/>
  <c r="N12" i="120"/>
  <c r="B30" i="12" l="1"/>
  <c r="B13" i="12"/>
  <c r="C9" i="12" l="1"/>
  <c r="C10" i="12"/>
  <c r="C11" i="12"/>
  <c r="C12" i="12"/>
  <c r="B9" i="12"/>
  <c r="B12" i="12"/>
  <c r="B10" i="12"/>
  <c r="D17" i="141"/>
  <c r="E17" i="141"/>
  <c r="F17" i="141"/>
  <c r="G17" i="141"/>
  <c r="H17" i="141"/>
  <c r="I17" i="141"/>
  <c r="J17" i="141"/>
  <c r="K17" i="141"/>
  <c r="C17" i="141"/>
  <c r="D12" i="137"/>
  <c r="E12" i="137"/>
  <c r="F12" i="137"/>
  <c r="G12" i="137"/>
  <c r="H12" i="137"/>
  <c r="I12" i="137"/>
  <c r="J12" i="137"/>
  <c r="C12" i="137"/>
  <c r="K11" i="137"/>
  <c r="K10" i="137"/>
  <c r="K12" i="137" s="1"/>
  <c r="K9" i="137"/>
  <c r="K9" i="141"/>
  <c r="L15" i="131"/>
  <c r="M9" i="137" l="1"/>
  <c r="L9" i="137"/>
  <c r="M10" i="137"/>
  <c r="L10" i="137"/>
  <c r="M11" i="137"/>
  <c r="L11" i="137"/>
  <c r="M9" i="141"/>
  <c r="L9" i="141"/>
  <c r="J21" i="120"/>
  <c r="L19" i="133"/>
  <c r="N19" i="133" s="1"/>
  <c r="G63" i="47" l="1"/>
  <c r="G20" i="47"/>
  <c r="L16" i="126" l="1"/>
  <c r="L17" i="126"/>
  <c r="G81" i="47"/>
  <c r="D27" i="134" l="1"/>
  <c r="I16" i="80" l="1"/>
  <c r="I17" i="80"/>
  <c r="I19" i="80"/>
  <c r="I21" i="80"/>
  <c r="I22" i="80"/>
  <c r="G96" i="47" l="1"/>
  <c r="O31" i="81" l="1"/>
  <c r="P31" i="81"/>
  <c r="N31" i="81"/>
  <c r="O18" i="81"/>
  <c r="P18" i="81"/>
  <c r="N18" i="81"/>
  <c r="L12" i="110"/>
  <c r="N12" i="110" s="1"/>
  <c r="C27" i="81"/>
  <c r="D27" i="81"/>
  <c r="B27" i="81"/>
  <c r="F96" i="47" l="1"/>
  <c r="E96" i="47"/>
  <c r="F97" i="47"/>
  <c r="E97" i="47"/>
  <c r="E27" i="12"/>
  <c r="E69" i="47"/>
  <c r="E68" i="47"/>
  <c r="E57" i="47"/>
  <c r="F57" i="47"/>
  <c r="D57" i="47"/>
  <c r="E56" i="47"/>
  <c r="F56" i="47"/>
  <c r="D56" i="47"/>
  <c r="E55" i="47"/>
  <c r="F55" i="47"/>
  <c r="D55" i="47"/>
  <c r="E9" i="12"/>
  <c r="F9" i="12"/>
  <c r="D9" i="12"/>
  <c r="L10" i="142"/>
  <c r="L30" i="109"/>
  <c r="L24" i="110"/>
  <c r="N24" i="110" s="1"/>
  <c r="L22" i="110"/>
  <c r="L42" i="127"/>
  <c r="N42" i="127" s="1"/>
  <c r="N10" i="142" l="1"/>
  <c r="N30" i="109"/>
  <c r="N22" i="110"/>
  <c r="G57" i="47"/>
  <c r="I65" i="140" l="1"/>
  <c r="D27" i="12" l="1"/>
  <c r="G9" i="12" l="1"/>
  <c r="D10" i="12"/>
  <c r="E10" i="12"/>
  <c r="F10" i="12"/>
  <c r="D11" i="12"/>
  <c r="E11" i="12"/>
  <c r="F11" i="12"/>
  <c r="G11" i="12"/>
  <c r="D12" i="12"/>
  <c r="E12" i="12"/>
  <c r="F12" i="12"/>
  <c r="F27" i="12" l="1"/>
  <c r="H29" i="80"/>
  <c r="G43" i="47" l="1"/>
  <c r="G42" i="47"/>
  <c r="D97" i="47"/>
  <c r="D96" i="47"/>
  <c r="E94" i="47"/>
  <c r="F94" i="47"/>
  <c r="D94" i="47"/>
  <c r="E95" i="47"/>
  <c r="F95" i="47"/>
  <c r="D95" i="47"/>
  <c r="G55" i="47" l="1"/>
  <c r="E122" i="47" l="1"/>
  <c r="F122" i="47"/>
  <c r="E123" i="47"/>
  <c r="F123" i="47"/>
  <c r="E124" i="47"/>
  <c r="F124" i="47"/>
  <c r="E125" i="47"/>
  <c r="F125" i="47"/>
  <c r="E117" i="47"/>
  <c r="F117" i="47"/>
  <c r="D117" i="47"/>
  <c r="E116" i="47"/>
  <c r="F116" i="47"/>
  <c r="E99" i="47"/>
  <c r="F99" i="47"/>
  <c r="D99" i="47"/>
  <c r="C117" i="47" l="1"/>
  <c r="B117" i="47"/>
  <c r="B116" i="47"/>
  <c r="C99" i="47"/>
  <c r="B99" i="47"/>
  <c r="C97" i="47" l="1"/>
  <c r="C96" i="47"/>
  <c r="C94" i="47"/>
  <c r="B96" i="47"/>
  <c r="B94" i="47"/>
  <c r="D71" i="47"/>
  <c r="D72" i="47"/>
  <c r="D70" i="47"/>
  <c r="D69" i="47" l="1"/>
  <c r="D68" i="47"/>
  <c r="E66" i="127" l="1"/>
  <c r="E17" i="127"/>
  <c r="K66" i="127" l="1"/>
  <c r="J66" i="127"/>
  <c r="I66" i="127"/>
  <c r="H66" i="127"/>
  <c r="G66" i="127"/>
  <c r="F66" i="127"/>
  <c r="E59" i="127" l="1"/>
  <c r="L40" i="127"/>
  <c r="N40" i="127" s="1"/>
  <c r="L31" i="127"/>
  <c r="I21" i="127"/>
  <c r="E64" i="140"/>
  <c r="H64" i="140" s="1"/>
  <c r="E63" i="140"/>
  <c r="H63" i="140" s="1"/>
  <c r="E62" i="140"/>
  <c r="H62" i="140" s="1"/>
  <c r="E61" i="140"/>
  <c r="H61" i="140" s="1"/>
  <c r="E60" i="140"/>
  <c r="H60" i="140" s="1"/>
  <c r="E59" i="140"/>
  <c r="H59" i="140" s="1"/>
  <c r="E58" i="140"/>
  <c r="H58" i="140" s="1"/>
  <c r="E57" i="140"/>
  <c r="H57" i="140" s="1"/>
  <c r="E56" i="140"/>
  <c r="H56" i="140" s="1"/>
  <c r="E55" i="140"/>
  <c r="H55" i="140" s="1"/>
  <c r="E54" i="140"/>
  <c r="H54" i="140" s="1"/>
  <c r="E53" i="140"/>
  <c r="H53" i="140" s="1"/>
  <c r="G97" i="47"/>
  <c r="G65" i="140"/>
  <c r="F65" i="140"/>
  <c r="D65" i="140"/>
  <c r="C65" i="140"/>
  <c r="B65" i="140"/>
  <c r="I45" i="140"/>
  <c r="G10" i="12" s="1"/>
  <c r="G45" i="140"/>
  <c r="F45" i="140"/>
  <c r="D45" i="140"/>
  <c r="C45" i="140"/>
  <c r="B45" i="140"/>
  <c r="E44" i="140"/>
  <c r="H44" i="140" s="1"/>
  <c r="E43" i="140"/>
  <c r="H43" i="140" s="1"/>
  <c r="E42" i="140"/>
  <c r="H42" i="140" s="1"/>
  <c r="E41" i="140"/>
  <c r="H41" i="140" s="1"/>
  <c r="E40" i="140"/>
  <c r="H40" i="140" s="1"/>
  <c r="E39" i="140"/>
  <c r="H39" i="140" s="1"/>
  <c r="E38" i="140"/>
  <c r="H38" i="140" s="1"/>
  <c r="E37" i="140"/>
  <c r="H37" i="140" s="1"/>
  <c r="E36" i="140"/>
  <c r="H36" i="140" s="1"/>
  <c r="E35" i="140"/>
  <c r="H35" i="140" s="1"/>
  <c r="E34" i="140"/>
  <c r="H34" i="140" s="1"/>
  <c r="E33" i="140"/>
  <c r="H33" i="140" s="1"/>
  <c r="E32" i="140"/>
  <c r="H32" i="140" s="1"/>
  <c r="E12" i="140"/>
  <c r="H12" i="140" s="1"/>
  <c r="E13" i="140"/>
  <c r="H13" i="140" s="1"/>
  <c r="E14" i="140"/>
  <c r="H14" i="140" s="1"/>
  <c r="E15" i="140"/>
  <c r="H15" i="140" s="1"/>
  <c r="E16" i="140"/>
  <c r="H16" i="140" s="1"/>
  <c r="E17" i="140"/>
  <c r="H17" i="140" s="1"/>
  <c r="E18" i="140"/>
  <c r="H18" i="140" s="1"/>
  <c r="E19" i="140"/>
  <c r="H19" i="140" s="1"/>
  <c r="E20" i="140"/>
  <c r="H20" i="140" s="1"/>
  <c r="E21" i="140"/>
  <c r="H21" i="140" s="1"/>
  <c r="E22" i="140"/>
  <c r="H22" i="140" s="1"/>
  <c r="E23" i="140"/>
  <c r="H23" i="140" s="1"/>
  <c r="E11" i="140"/>
  <c r="H11" i="140" s="1"/>
  <c r="G64" i="47" l="1"/>
  <c r="G94" i="47"/>
  <c r="E24" i="140"/>
  <c r="M40" i="127"/>
  <c r="E65" i="140"/>
  <c r="H65" i="140" s="1"/>
  <c r="H45" i="140"/>
  <c r="E45" i="140"/>
  <c r="F18" i="81"/>
  <c r="H30" i="80" l="1"/>
  <c r="L11" i="110"/>
  <c r="N11" i="110" l="1"/>
  <c r="H35" i="80"/>
  <c r="F35" i="80"/>
  <c r="E35" i="80"/>
  <c r="J22" i="138" l="1"/>
  <c r="K22" i="138"/>
  <c r="I22" i="138"/>
  <c r="L10" i="114"/>
  <c r="H21" i="133" l="1"/>
  <c r="I21" i="133"/>
  <c r="J21" i="133"/>
  <c r="K21" i="133"/>
  <c r="D21" i="133"/>
  <c r="E21" i="133"/>
  <c r="F21" i="133"/>
  <c r="G21" i="133"/>
  <c r="L15" i="133" l="1"/>
  <c r="L16" i="109" l="1"/>
  <c r="N16" i="109" l="1"/>
  <c r="B21" i="12" l="1"/>
  <c r="G21" i="12"/>
  <c r="E21" i="12"/>
  <c r="F21" i="12"/>
  <c r="D21" i="12"/>
  <c r="L97" i="131" l="1"/>
  <c r="N97" i="131" l="1"/>
  <c r="L110" i="131"/>
  <c r="L89" i="131"/>
  <c r="N89" i="131" s="1"/>
  <c r="L90" i="131"/>
  <c r="L91" i="131"/>
  <c r="L86" i="131"/>
  <c r="N86" i="131" s="1"/>
  <c r="L87" i="131"/>
  <c r="H85" i="131"/>
  <c r="G85" i="131"/>
  <c r="F85" i="131"/>
  <c r="N91" i="131" l="1"/>
  <c r="N110" i="131"/>
  <c r="N87" i="131"/>
  <c r="L56" i="131" l="1"/>
  <c r="L30" i="131"/>
  <c r="L28" i="131"/>
  <c r="L19" i="126" l="1"/>
  <c r="K14" i="119" l="1"/>
  <c r="M14" i="119" s="1"/>
  <c r="L27" i="110" l="1"/>
  <c r="E29" i="110"/>
  <c r="L26" i="110"/>
  <c r="L19" i="110"/>
  <c r="K14" i="141"/>
  <c r="K15" i="141"/>
  <c r="L21" i="109"/>
  <c r="M21" i="109" s="1"/>
  <c r="M14" i="141" l="1"/>
  <c r="N21" i="109"/>
  <c r="L14" i="118" l="1"/>
  <c r="N14" i="118" s="1"/>
  <c r="L10" i="118"/>
  <c r="N10" i="118" s="1"/>
  <c r="L102" i="130" l="1"/>
  <c r="N102" i="130" s="1"/>
  <c r="L98" i="130"/>
  <c r="L101" i="130"/>
  <c r="L81" i="130"/>
  <c r="N81" i="130" s="1"/>
  <c r="N98" i="130" l="1"/>
  <c r="N101" i="130"/>
  <c r="E21" i="120"/>
  <c r="F21" i="120"/>
  <c r="G21" i="120"/>
  <c r="H21" i="120"/>
  <c r="I21" i="120"/>
  <c r="K21" i="120"/>
  <c r="D21" i="120"/>
  <c r="L18" i="120"/>
  <c r="N18" i="120" s="1"/>
  <c r="G31" i="81"/>
  <c r="H31" i="81"/>
  <c r="F31" i="81"/>
  <c r="E13" i="142"/>
  <c r="F13" i="142"/>
  <c r="G13" i="142"/>
  <c r="H13" i="142"/>
  <c r="I13" i="142"/>
  <c r="J13" i="142"/>
  <c r="K13" i="142"/>
  <c r="D13" i="142"/>
  <c r="E80" i="131"/>
  <c r="F80" i="131"/>
  <c r="G80" i="131"/>
  <c r="H80" i="131"/>
  <c r="I80" i="131"/>
  <c r="J80" i="131"/>
  <c r="K80" i="131"/>
  <c r="D80" i="131"/>
  <c r="E75" i="131"/>
  <c r="F75" i="131"/>
  <c r="G75" i="131"/>
  <c r="H75" i="131"/>
  <c r="I75" i="131"/>
  <c r="J75" i="131"/>
  <c r="K75" i="131"/>
  <c r="D75" i="131"/>
  <c r="E70" i="131"/>
  <c r="F70" i="131"/>
  <c r="G70" i="131"/>
  <c r="H70" i="131"/>
  <c r="I70" i="131"/>
  <c r="J70" i="131"/>
  <c r="K70" i="131"/>
  <c r="D70" i="131"/>
  <c r="E65" i="131"/>
  <c r="F65" i="131"/>
  <c r="G65" i="131"/>
  <c r="H65" i="131"/>
  <c r="I65" i="131"/>
  <c r="J65" i="131"/>
  <c r="K65" i="131"/>
  <c r="D65" i="131"/>
  <c r="E60" i="131"/>
  <c r="F60" i="131"/>
  <c r="G60" i="131"/>
  <c r="H60" i="131"/>
  <c r="I60" i="131"/>
  <c r="J60" i="131"/>
  <c r="K60" i="131"/>
  <c r="D60" i="131"/>
  <c r="E54" i="131"/>
  <c r="F54" i="131"/>
  <c r="G54" i="131"/>
  <c r="H54" i="131"/>
  <c r="I54" i="131"/>
  <c r="J54" i="131"/>
  <c r="K54" i="131"/>
  <c r="D54" i="131"/>
  <c r="E49" i="131"/>
  <c r="F49" i="131"/>
  <c r="G49" i="131"/>
  <c r="H49" i="131"/>
  <c r="I49" i="131"/>
  <c r="J49" i="131"/>
  <c r="K49" i="131"/>
  <c r="D49" i="131"/>
  <c r="E44" i="131"/>
  <c r="F44" i="131"/>
  <c r="G44" i="131"/>
  <c r="H44" i="131"/>
  <c r="I44" i="131"/>
  <c r="J44" i="131"/>
  <c r="K44" i="131"/>
  <c r="D44" i="131"/>
  <c r="E39" i="131"/>
  <c r="F39" i="131"/>
  <c r="G39" i="131"/>
  <c r="H39" i="131"/>
  <c r="I39" i="131"/>
  <c r="J39" i="131"/>
  <c r="K39" i="131"/>
  <c r="D39" i="131"/>
  <c r="E34" i="131"/>
  <c r="F34" i="131"/>
  <c r="G34" i="131"/>
  <c r="H34" i="131"/>
  <c r="I34" i="131"/>
  <c r="J34" i="131"/>
  <c r="K34" i="131"/>
  <c r="D34" i="131"/>
  <c r="E29" i="131"/>
  <c r="F29" i="131"/>
  <c r="G29" i="131"/>
  <c r="H29" i="131"/>
  <c r="I29" i="131"/>
  <c r="J29" i="131"/>
  <c r="K29" i="131"/>
  <c r="D29" i="131"/>
  <c r="E23" i="131"/>
  <c r="F23" i="131"/>
  <c r="G23" i="131"/>
  <c r="H23" i="131"/>
  <c r="I23" i="131"/>
  <c r="J23" i="131"/>
  <c r="K23" i="131"/>
  <c r="D23" i="131"/>
  <c r="E17" i="131"/>
  <c r="F17" i="131"/>
  <c r="G17" i="131"/>
  <c r="H17" i="131"/>
  <c r="I17" i="131"/>
  <c r="J17" i="131"/>
  <c r="K17" i="131"/>
  <c r="D17" i="131"/>
  <c r="E9" i="131"/>
  <c r="F9" i="131"/>
  <c r="G9" i="131"/>
  <c r="H9" i="131"/>
  <c r="I9" i="131"/>
  <c r="J9" i="131"/>
  <c r="K9" i="131"/>
  <c r="D9" i="131"/>
  <c r="E13" i="110"/>
  <c r="E30" i="110" s="1"/>
  <c r="F13" i="110"/>
  <c r="F30" i="110" s="1"/>
  <c r="G13" i="110"/>
  <c r="G30" i="110" s="1"/>
  <c r="H13" i="110"/>
  <c r="H30" i="110" s="1"/>
  <c r="I13" i="110"/>
  <c r="I30" i="110" s="1"/>
  <c r="J13" i="110"/>
  <c r="J30" i="110" s="1"/>
  <c r="K13" i="110"/>
  <c r="K30" i="110" s="1"/>
  <c r="D13" i="110"/>
  <c r="D30" i="110" s="1"/>
  <c r="E16" i="114"/>
  <c r="F16" i="114"/>
  <c r="G16" i="114"/>
  <c r="H16" i="114"/>
  <c r="I16" i="114"/>
  <c r="J16" i="114"/>
  <c r="K16" i="114"/>
  <c r="D16" i="114"/>
  <c r="E72" i="127"/>
  <c r="F72" i="127"/>
  <c r="G72" i="127"/>
  <c r="H72" i="127"/>
  <c r="I72" i="127"/>
  <c r="J72" i="127"/>
  <c r="K72" i="127"/>
  <c r="D72" i="127"/>
  <c r="E45" i="127"/>
  <c r="F45" i="127"/>
  <c r="G45" i="127"/>
  <c r="H45" i="127"/>
  <c r="I45" i="127"/>
  <c r="J45" i="127"/>
  <c r="K45" i="127"/>
  <c r="D45" i="127"/>
  <c r="E24" i="127"/>
  <c r="F24" i="127"/>
  <c r="G24" i="127"/>
  <c r="H24" i="127"/>
  <c r="I24" i="127"/>
  <c r="J24" i="127"/>
  <c r="K24" i="127"/>
  <c r="D24" i="127"/>
  <c r="F17" i="127"/>
  <c r="G17" i="127"/>
  <c r="H17" i="127"/>
  <c r="I17" i="127"/>
  <c r="J17" i="127"/>
  <c r="K17" i="127"/>
  <c r="D17" i="127"/>
  <c r="E10" i="126"/>
  <c r="E23" i="126" s="1"/>
  <c r="F10" i="126"/>
  <c r="F23" i="126" s="1"/>
  <c r="G10" i="126"/>
  <c r="G23" i="126" s="1"/>
  <c r="H10" i="126"/>
  <c r="H23" i="126" s="1"/>
  <c r="I10" i="126"/>
  <c r="I23" i="126" s="1"/>
  <c r="J10" i="126"/>
  <c r="J23" i="126" s="1"/>
  <c r="K10" i="126"/>
  <c r="K23" i="126" s="1"/>
  <c r="D10" i="126"/>
  <c r="D23" i="126" s="1"/>
  <c r="E11" i="114"/>
  <c r="F11" i="114"/>
  <c r="G11" i="114"/>
  <c r="H11" i="114"/>
  <c r="I11" i="114"/>
  <c r="J11" i="114"/>
  <c r="K11" i="114"/>
  <c r="D11" i="114"/>
  <c r="L28" i="127"/>
  <c r="N28" i="127" s="1"/>
  <c r="F29" i="127"/>
  <c r="E23" i="114" l="1"/>
  <c r="M28" i="127"/>
  <c r="L54" i="131"/>
  <c r="C70" i="47"/>
  <c r="C73" i="47" s="1"/>
  <c r="C72" i="47"/>
  <c r="C38" i="47"/>
  <c r="C21" i="12" s="1"/>
  <c r="C69" i="47" l="1"/>
  <c r="C56" i="47"/>
  <c r="C55" i="47"/>
  <c r="C51" i="47"/>
  <c r="B51" i="47"/>
  <c r="B27" i="4"/>
  <c r="C27" i="4"/>
  <c r="B20" i="4"/>
  <c r="C20" i="4"/>
  <c r="E38" i="130" l="1"/>
  <c r="E22" i="109"/>
  <c r="E24" i="109"/>
  <c r="E23" i="109"/>
  <c r="H55" i="47" l="1"/>
  <c r="H56" i="47"/>
  <c r="H57" i="47"/>
  <c r="H59" i="47"/>
  <c r="H63" i="47"/>
  <c r="H64" i="47"/>
  <c r="H65" i="47"/>
  <c r="H52" i="47"/>
  <c r="G51" i="47"/>
  <c r="H40" i="47"/>
  <c r="H42" i="47"/>
  <c r="H43" i="47"/>
  <c r="H17" i="47"/>
  <c r="H20" i="47"/>
  <c r="H22" i="47"/>
  <c r="H23" i="47"/>
  <c r="H25" i="47"/>
  <c r="H26" i="47"/>
  <c r="H27" i="47"/>
  <c r="H28" i="47"/>
  <c r="H30" i="47"/>
  <c r="H31" i="47"/>
  <c r="H32" i="47"/>
  <c r="H33" i="47"/>
  <c r="I13" i="2"/>
  <c r="I14" i="2"/>
  <c r="I15" i="2"/>
  <c r="I16" i="2"/>
  <c r="I17" i="2"/>
  <c r="I21" i="2"/>
  <c r="K16" i="16"/>
  <c r="I12" i="80"/>
  <c r="I13" i="80"/>
  <c r="I14" i="80"/>
  <c r="I23" i="80"/>
  <c r="I24" i="80"/>
  <c r="I25" i="80"/>
  <c r="C27" i="134"/>
  <c r="B27" i="134"/>
  <c r="C21" i="134"/>
  <c r="C23" i="134"/>
  <c r="C24" i="134"/>
  <c r="C25" i="134"/>
  <c r="C26" i="134"/>
  <c r="B26" i="134"/>
  <c r="B25" i="134"/>
  <c r="B24" i="134"/>
  <c r="B23" i="134"/>
  <c r="B21" i="134"/>
  <c r="E25" i="130"/>
  <c r="C22" i="134" s="1"/>
  <c r="D25" i="130"/>
  <c r="B22" i="134" s="1"/>
  <c r="G54" i="127"/>
  <c r="H54" i="127"/>
  <c r="I54" i="127"/>
  <c r="J54" i="127"/>
  <c r="K54" i="127"/>
  <c r="D28" i="142"/>
  <c r="D23" i="142"/>
  <c r="D36" i="142" l="1"/>
  <c r="B30" i="4" s="1"/>
  <c r="B28" i="134"/>
  <c r="C28" i="134"/>
  <c r="L21" i="110"/>
  <c r="C95" i="47" l="1"/>
  <c r="L44" i="127"/>
  <c r="N44" i="127" l="1"/>
  <c r="M44" i="127"/>
  <c r="I23" i="142"/>
  <c r="D16" i="136"/>
  <c r="C45" i="134" l="1"/>
  <c r="D45" i="134"/>
  <c r="E45" i="134"/>
  <c r="F45" i="134"/>
  <c r="B45" i="134"/>
  <c r="E38" i="134"/>
  <c r="E35" i="134"/>
  <c r="E36" i="134"/>
  <c r="C33" i="134"/>
  <c r="D33" i="134"/>
  <c r="E33" i="134"/>
  <c r="F33" i="134"/>
  <c r="B33" i="134"/>
  <c r="E14" i="134"/>
  <c r="C9" i="134"/>
  <c r="D9" i="134"/>
  <c r="E9" i="134"/>
  <c r="F9" i="134"/>
  <c r="B9" i="134"/>
  <c r="K10" i="81"/>
  <c r="L10" i="81"/>
  <c r="J10" i="81"/>
  <c r="G20" i="81" l="1"/>
  <c r="H20" i="81"/>
  <c r="O13" i="81"/>
  <c r="P13" i="81"/>
  <c r="N13" i="81"/>
  <c r="K16" i="81"/>
  <c r="K15" i="81"/>
  <c r="L13" i="81"/>
  <c r="K13" i="81"/>
  <c r="J13" i="81"/>
  <c r="K25" i="81"/>
  <c r="L25" i="81"/>
  <c r="L16" i="133"/>
  <c r="F28" i="12" l="1"/>
  <c r="F29" i="12"/>
  <c r="F51" i="47"/>
  <c r="E51" i="47"/>
  <c r="K16" i="141"/>
  <c r="L10" i="117"/>
  <c r="M10" i="117" s="1"/>
  <c r="C31" i="4" l="1"/>
  <c r="B31" i="4"/>
  <c r="B32" i="81"/>
  <c r="N10" i="117"/>
  <c r="L28" i="110" l="1"/>
  <c r="L20" i="110"/>
  <c r="L10" i="110"/>
  <c r="N10" i="110" s="1"/>
  <c r="L18" i="133"/>
  <c r="L109" i="130"/>
  <c r="G64" i="127"/>
  <c r="H64" i="127"/>
  <c r="K64" i="127"/>
  <c r="N20" i="110" l="1"/>
  <c r="N28" i="110"/>
  <c r="N18" i="133"/>
  <c r="M10" i="110"/>
  <c r="G61" i="127"/>
  <c r="L51" i="127"/>
  <c r="E50" i="127"/>
  <c r="F50" i="127"/>
  <c r="G50" i="127"/>
  <c r="G53" i="127" s="1"/>
  <c r="H50" i="127"/>
  <c r="H53" i="127" s="1"/>
  <c r="I50" i="127"/>
  <c r="I53" i="127" s="1"/>
  <c r="J50" i="127"/>
  <c r="J53" i="127" s="1"/>
  <c r="K50" i="127"/>
  <c r="K53" i="127" s="1"/>
  <c r="D50" i="127"/>
  <c r="D47" i="134" l="1"/>
  <c r="F47" i="134"/>
  <c r="E47" i="134"/>
  <c r="G80" i="47"/>
  <c r="H80" i="47" s="1"/>
  <c r="G79" i="47"/>
  <c r="G27" i="12" l="1"/>
  <c r="H27" i="12" s="1"/>
  <c r="H81" i="47"/>
  <c r="G72" i="47"/>
  <c r="H72" i="47" s="1"/>
  <c r="L19" i="138" l="1"/>
  <c r="L15" i="138"/>
  <c r="K30" i="125"/>
  <c r="K31" i="125"/>
  <c r="L15" i="109"/>
  <c r="L26" i="109"/>
  <c r="F25" i="16"/>
  <c r="G25" i="16"/>
  <c r="H25" i="16"/>
  <c r="I25" i="16"/>
  <c r="J25" i="16"/>
  <c r="F26" i="16"/>
  <c r="G26" i="16"/>
  <c r="H26" i="16"/>
  <c r="I26" i="16"/>
  <c r="F68" i="47" s="1"/>
  <c r="J26" i="16"/>
  <c r="E26" i="16"/>
  <c r="E25" i="16"/>
  <c r="G68" i="47" l="1"/>
  <c r="H68" i="47" s="1"/>
  <c r="N19" i="138"/>
  <c r="N15" i="138"/>
  <c r="L46" i="130"/>
  <c r="L47" i="130"/>
  <c r="C116" i="47"/>
  <c r="C119" i="47" s="1"/>
  <c r="B119" i="47"/>
  <c r="C122" i="47"/>
  <c r="D122" i="47"/>
  <c r="C123" i="47"/>
  <c r="D123" i="47"/>
  <c r="C124" i="47"/>
  <c r="D124" i="47"/>
  <c r="C125" i="47"/>
  <c r="D125" i="47"/>
  <c r="B125" i="47"/>
  <c r="B124" i="47"/>
  <c r="B123" i="47"/>
  <c r="B122" i="47"/>
  <c r="C106" i="47"/>
  <c r="D106" i="47"/>
  <c r="E106" i="47"/>
  <c r="F106" i="47"/>
  <c r="B106" i="47"/>
  <c r="C105" i="47"/>
  <c r="D105" i="47"/>
  <c r="E105" i="47"/>
  <c r="F105" i="47"/>
  <c r="B105" i="47"/>
  <c r="C104" i="47"/>
  <c r="D104" i="47"/>
  <c r="E104" i="47"/>
  <c r="F104" i="47"/>
  <c r="B104" i="47"/>
  <c r="C108" i="47" l="1"/>
  <c r="B108" i="47"/>
  <c r="C126" i="47"/>
  <c r="C128" i="47" s="1"/>
  <c r="B126" i="47"/>
  <c r="B128" i="47" s="1"/>
  <c r="E12" i="112" l="1"/>
  <c r="F12" i="112"/>
  <c r="G12" i="112"/>
  <c r="H12" i="112"/>
  <c r="I12" i="112"/>
  <c r="J12" i="112"/>
  <c r="K12" i="112"/>
  <c r="D12" i="112"/>
  <c r="K10" i="125"/>
  <c r="B24" i="140"/>
  <c r="C24" i="140"/>
  <c r="D24" i="140"/>
  <c r="G60" i="47" s="1"/>
  <c r="F24" i="140"/>
  <c r="G24" i="140"/>
  <c r="I24" i="140"/>
  <c r="P30" i="81"/>
  <c r="O30" i="81"/>
  <c r="H18" i="81"/>
  <c r="G18" i="81"/>
  <c r="E27" i="134"/>
  <c r="F27" i="134"/>
  <c r="E26" i="134"/>
  <c r="F26" i="134"/>
  <c r="D26" i="134"/>
  <c r="E25" i="134"/>
  <c r="F25" i="134"/>
  <c r="D25" i="134"/>
  <c r="E24" i="134"/>
  <c r="F24" i="134"/>
  <c r="D24" i="134"/>
  <c r="E23" i="134"/>
  <c r="F23" i="134"/>
  <c r="D23" i="134"/>
  <c r="E21" i="134"/>
  <c r="F21" i="134"/>
  <c r="D21" i="134"/>
  <c r="G62" i="47" l="1"/>
  <c r="B11" i="4"/>
  <c r="B12" i="81"/>
  <c r="C11" i="4"/>
  <c r="G12" i="12"/>
  <c r="G61" i="47"/>
  <c r="G41" i="47"/>
  <c r="H41" i="47" s="1"/>
  <c r="H62" i="47"/>
  <c r="H61" i="47"/>
  <c r="G104" i="47"/>
  <c r="G95" i="47"/>
  <c r="H24" i="47"/>
  <c r="H95" i="47" s="1"/>
  <c r="B10" i="81"/>
  <c r="C9" i="4"/>
  <c r="B9" i="4"/>
  <c r="G125" i="47"/>
  <c r="L16" i="110"/>
  <c r="M16" i="110" s="1"/>
  <c r="H60" i="47" l="1"/>
  <c r="G105" i="47"/>
  <c r="G106" i="47"/>
  <c r="N16" i="110"/>
  <c r="I18" i="81"/>
  <c r="G25" i="134"/>
  <c r="L20" i="117"/>
  <c r="L100" i="131"/>
  <c r="L101" i="131"/>
  <c r="L102" i="131"/>
  <c r="L103" i="131"/>
  <c r="L104" i="131"/>
  <c r="L105" i="131"/>
  <c r="L106" i="131"/>
  <c r="L107" i="131"/>
  <c r="L108" i="131"/>
  <c r="L109" i="131"/>
  <c r="L111" i="131"/>
  <c r="L112" i="131"/>
  <c r="L113" i="131"/>
  <c r="L114" i="131"/>
  <c r="L115" i="131"/>
  <c r="L116" i="131"/>
  <c r="N101" i="131"/>
  <c r="G117" i="131"/>
  <c r="G122" i="131" s="1"/>
  <c r="N113" i="131" l="1"/>
  <c r="N111" i="131"/>
  <c r="N108" i="131"/>
  <c r="N100" i="131"/>
  <c r="N116" i="131"/>
  <c r="N107" i="131"/>
  <c r="N115" i="131"/>
  <c r="N106" i="131"/>
  <c r="N105" i="131"/>
  <c r="N104" i="131"/>
  <c r="N112" i="131"/>
  <c r="N102" i="131"/>
  <c r="N109" i="131"/>
  <c r="N114" i="131"/>
  <c r="L13" i="133" l="1"/>
  <c r="M13" i="133" l="1"/>
  <c r="N13" i="133"/>
  <c r="G71" i="47"/>
  <c r="H71" i="47" s="1"/>
  <c r="K13" i="141" l="1"/>
  <c r="F28" i="142"/>
  <c r="G28" i="142"/>
  <c r="H28" i="142"/>
  <c r="J28" i="142"/>
  <c r="K28" i="142"/>
  <c r="I28" i="142"/>
  <c r="L31" i="142"/>
  <c r="L26" i="142"/>
  <c r="L19" i="142"/>
  <c r="L16" i="142"/>
  <c r="L11" i="142"/>
  <c r="M16" i="142" l="1"/>
  <c r="I31" i="81"/>
  <c r="M11" i="142"/>
  <c r="N11" i="142"/>
  <c r="N19" i="142"/>
  <c r="M19" i="142"/>
  <c r="M26" i="142"/>
  <c r="N26" i="142"/>
  <c r="M31" i="142"/>
  <c r="N31" i="142"/>
  <c r="G27" i="134"/>
  <c r="H27" i="134" s="1"/>
  <c r="N16" i="142"/>
  <c r="L11" i="113" l="1"/>
  <c r="G21" i="113"/>
  <c r="K10" i="141" l="1"/>
  <c r="K11" i="141"/>
  <c r="K12" i="141"/>
  <c r="L12" i="141" s="1"/>
  <c r="L11" i="141" l="1"/>
  <c r="M12" i="141"/>
  <c r="G70" i="47"/>
  <c r="H70" i="47" s="1"/>
  <c r="L106" i="130"/>
  <c r="L105" i="130"/>
  <c r="G48" i="130"/>
  <c r="G58" i="130" s="1"/>
  <c r="H48" i="130"/>
  <c r="H58" i="130" s="1"/>
  <c r="I48" i="130"/>
  <c r="I58" i="130" s="1"/>
  <c r="J48" i="130"/>
  <c r="J58" i="130" s="1"/>
  <c r="K48" i="130"/>
  <c r="K58" i="130" s="1"/>
  <c r="L10" i="130"/>
  <c r="L11" i="130"/>
  <c r="L12" i="130"/>
  <c r="M106" i="130" l="1"/>
  <c r="N106" i="130"/>
  <c r="L80" i="131" l="1"/>
  <c r="L70" i="131"/>
  <c r="L65" i="131"/>
  <c r="L60" i="131"/>
  <c r="L49" i="131"/>
  <c r="L44" i="131"/>
  <c r="L39" i="131"/>
  <c r="L34" i="131"/>
  <c r="L23" i="131" l="1"/>
  <c r="L75" i="131"/>
  <c r="L29" i="131"/>
  <c r="L17" i="131"/>
  <c r="L9" i="131"/>
  <c r="L17" i="117" l="1"/>
  <c r="K29" i="125"/>
  <c r="N97" i="130"/>
  <c r="L70" i="127"/>
  <c r="F25" i="81"/>
  <c r="F20" i="81"/>
  <c r="N17" i="117" l="1"/>
  <c r="M70" i="127"/>
  <c r="N70" i="127"/>
  <c r="G25" i="81"/>
  <c r="H25" i="81"/>
  <c r="G16" i="81"/>
  <c r="H16" i="81"/>
  <c r="F16" i="81"/>
  <c r="G15" i="81"/>
  <c r="H15" i="81"/>
  <c r="F15" i="81"/>
  <c r="D29" i="12" l="1"/>
  <c r="E29" i="12"/>
  <c r="D28" i="12"/>
  <c r="E28" i="12"/>
  <c r="C29" i="12"/>
  <c r="C28" i="12"/>
  <c r="G13" i="81" l="1"/>
  <c r="H13" i="81"/>
  <c r="F13" i="81"/>
  <c r="G11" i="81"/>
  <c r="H11" i="81"/>
  <c r="F11" i="81"/>
  <c r="E28" i="142" l="1"/>
  <c r="E85" i="131"/>
  <c r="L39" i="127"/>
  <c r="N39" i="127" l="1"/>
  <c r="D29" i="127"/>
  <c r="D117" i="131" l="1"/>
  <c r="D98" i="131"/>
  <c r="D85" i="131"/>
  <c r="H25" i="130"/>
  <c r="G25" i="130"/>
  <c r="F25" i="130"/>
  <c r="B11" i="134"/>
  <c r="B12" i="134"/>
  <c r="B13" i="134"/>
  <c r="B14" i="134"/>
  <c r="B15" i="134"/>
  <c r="D11" i="134"/>
  <c r="D12" i="134"/>
  <c r="D13" i="134"/>
  <c r="D14" i="134"/>
  <c r="D15" i="134"/>
  <c r="I34" i="80"/>
  <c r="I31" i="80"/>
  <c r="E9" i="80"/>
  <c r="C9" i="80"/>
  <c r="G21" i="16"/>
  <c r="G18" i="16"/>
  <c r="G15" i="16"/>
  <c r="G12" i="16"/>
  <c r="G9" i="16"/>
  <c r="E24" i="16"/>
  <c r="E21" i="16"/>
  <c r="E18" i="16"/>
  <c r="E15" i="16"/>
  <c r="E12" i="16"/>
  <c r="E9" i="16"/>
  <c r="H99" i="47"/>
  <c r="C101" i="47"/>
  <c r="C110" i="47" s="1"/>
  <c r="B101" i="47"/>
  <c r="B110" i="47" s="1"/>
  <c r="H53" i="47"/>
  <c r="D123" i="131" l="1"/>
  <c r="H14" i="81"/>
  <c r="H33" i="81" s="1"/>
  <c r="F22" i="134"/>
  <c r="F28" i="134" s="1"/>
  <c r="F14" i="81"/>
  <c r="F33" i="81" s="1"/>
  <c r="D22" i="134"/>
  <c r="D28" i="134" s="1"/>
  <c r="G14" i="81"/>
  <c r="G33" i="81" s="1"/>
  <c r="E22" i="134"/>
  <c r="G24" i="16"/>
  <c r="L30" i="142"/>
  <c r="L27" i="142"/>
  <c r="N27" i="142" s="1"/>
  <c r="L25" i="142"/>
  <c r="L24" i="142"/>
  <c r="J23" i="142"/>
  <c r="H23" i="142"/>
  <c r="G23" i="142"/>
  <c r="F23" i="142"/>
  <c r="E23" i="142"/>
  <c r="E28" i="134" l="1"/>
  <c r="E58" i="134"/>
  <c r="B24" i="4"/>
  <c r="L28" i="142"/>
  <c r="M28" i="142" s="1"/>
  <c r="N25" i="142"/>
  <c r="M25" i="142"/>
  <c r="N30" i="142"/>
  <c r="M30" i="142"/>
  <c r="M27" i="142"/>
  <c r="M24" i="142"/>
  <c r="N24" i="142"/>
  <c r="K23" i="142"/>
  <c r="L23" i="142" s="1"/>
  <c r="L29" i="142"/>
  <c r="M23" i="142" l="1"/>
  <c r="N28" i="142"/>
  <c r="N29" i="142"/>
  <c r="M29" i="142"/>
  <c r="N23" i="142" l="1"/>
  <c r="K9" i="145"/>
  <c r="M9" i="145" s="1"/>
  <c r="L9" i="145" l="1"/>
  <c r="H36" i="127"/>
  <c r="L119" i="131"/>
  <c r="L121" i="131"/>
  <c r="L118" i="131"/>
  <c r="L99" i="131"/>
  <c r="L95" i="131"/>
  <c r="M95" i="131" s="1"/>
  <c r="L96" i="131"/>
  <c r="M96" i="131" s="1"/>
  <c r="L94" i="131"/>
  <c r="L92" i="131"/>
  <c r="L88" i="131"/>
  <c r="N88" i="131" l="1"/>
  <c r="N92" i="131"/>
  <c r="N99" i="131"/>
  <c r="N119" i="131"/>
  <c r="H114" i="47"/>
  <c r="L65" i="127" l="1"/>
  <c r="L71" i="127"/>
  <c r="L69" i="127"/>
  <c r="L68" i="127"/>
  <c r="L67" i="127"/>
  <c r="J64" i="127"/>
  <c r="I64" i="127"/>
  <c r="F64" i="127"/>
  <c r="E64" i="127"/>
  <c r="L63" i="127"/>
  <c r="L62" i="127"/>
  <c r="K61" i="127"/>
  <c r="J61" i="127"/>
  <c r="I61" i="127"/>
  <c r="H61" i="127"/>
  <c r="F61" i="127"/>
  <c r="E61" i="127"/>
  <c r="L56" i="127"/>
  <c r="L55" i="127"/>
  <c r="F54" i="127"/>
  <c r="E54" i="127"/>
  <c r="D54" i="127"/>
  <c r="L52" i="127"/>
  <c r="E36" i="127"/>
  <c r="F36" i="127"/>
  <c r="G36" i="127"/>
  <c r="I36" i="127"/>
  <c r="J36" i="127"/>
  <c r="K36" i="127"/>
  <c r="D36" i="127"/>
  <c r="N68" i="127" l="1"/>
  <c r="M68" i="127"/>
  <c r="N69" i="127"/>
  <c r="M69" i="127"/>
  <c r="N71" i="127"/>
  <c r="M71" i="127"/>
  <c r="L36" i="127"/>
  <c r="M55" i="127"/>
  <c r="N55" i="127"/>
  <c r="N65" i="127"/>
  <c r="M65" i="127"/>
  <c r="L61" i="127"/>
  <c r="M61" i="127" s="1"/>
  <c r="L66" i="127"/>
  <c r="N66" i="127" s="1"/>
  <c r="H60" i="127"/>
  <c r="D60" i="127"/>
  <c r="D78" i="127" s="1"/>
  <c r="K60" i="127"/>
  <c r="J60" i="127"/>
  <c r="G60" i="127"/>
  <c r="F60" i="127"/>
  <c r="F78" i="127" s="1"/>
  <c r="E60" i="127"/>
  <c r="L50" i="127"/>
  <c r="N50" i="127" s="1"/>
  <c r="L54" i="127"/>
  <c r="N54" i="127" s="1"/>
  <c r="I60" i="127"/>
  <c r="L64" i="127"/>
  <c r="N62" i="127"/>
  <c r="M62" i="127"/>
  <c r="N63" i="127"/>
  <c r="M63" i="127"/>
  <c r="N67" i="127"/>
  <c r="M67" i="127"/>
  <c r="N56" i="127"/>
  <c r="M56" i="127"/>
  <c r="N52" i="127"/>
  <c r="M52" i="127"/>
  <c r="N64" i="127" l="1"/>
  <c r="M64" i="127"/>
  <c r="M50" i="127"/>
  <c r="N61" i="127"/>
  <c r="M66" i="127"/>
  <c r="L60" i="127"/>
  <c r="M54" i="127"/>
  <c r="N60" i="127" l="1"/>
  <c r="M60" i="127"/>
  <c r="L37" i="131"/>
  <c r="L68" i="131"/>
  <c r="L83" i="131"/>
  <c r="L78" i="131"/>
  <c r="L73" i="131"/>
  <c r="L63" i="131"/>
  <c r="L57" i="131"/>
  <c r="L52" i="131"/>
  <c r="L47" i="131"/>
  <c r="L42" i="131"/>
  <c r="L32" i="131"/>
  <c r="L26" i="131"/>
  <c r="L20" i="131"/>
  <c r="L12" i="131"/>
  <c r="L13" i="126"/>
  <c r="L75" i="127"/>
  <c r="L48" i="127"/>
  <c r="L27" i="127"/>
  <c r="L20" i="127"/>
  <c r="L29" i="109"/>
  <c r="L18" i="109"/>
  <c r="L20" i="113"/>
  <c r="J38" i="130"/>
  <c r="K38" i="130"/>
  <c r="I38" i="130"/>
  <c r="J25" i="130"/>
  <c r="K25" i="130"/>
  <c r="I25" i="130"/>
  <c r="L32" i="130"/>
  <c r="L31" i="130"/>
  <c r="L37" i="130"/>
  <c r="L36" i="130"/>
  <c r="L35" i="130"/>
  <c r="M35" i="130" s="1"/>
  <c r="L34" i="130"/>
  <c r="L33" i="130"/>
  <c r="L30" i="130"/>
  <c r="L29" i="130"/>
  <c r="L28" i="130"/>
  <c r="L27" i="130"/>
  <c r="L26" i="130"/>
  <c r="L19" i="114"/>
  <c r="L14" i="114"/>
  <c r="I22" i="81"/>
  <c r="I25" i="81" l="1"/>
  <c r="I13" i="81"/>
  <c r="G21" i="134"/>
  <c r="H21" i="134" s="1"/>
  <c r="N20" i="127"/>
  <c r="M20" i="127"/>
  <c r="I15" i="81"/>
  <c r="M27" i="127"/>
  <c r="N27" i="127"/>
  <c r="M48" i="127"/>
  <c r="N48" i="127"/>
  <c r="M75" i="127"/>
  <c r="N75" i="127"/>
  <c r="N83" i="131"/>
  <c r="M83" i="131"/>
  <c r="N78" i="131"/>
  <c r="M78" i="131"/>
  <c r="M73" i="131"/>
  <c r="N73" i="131"/>
  <c r="N68" i="131"/>
  <c r="M68" i="131"/>
  <c r="N63" i="131"/>
  <c r="M63" i="131"/>
  <c r="N57" i="131"/>
  <c r="M57" i="131"/>
  <c r="N52" i="131"/>
  <c r="M52" i="131"/>
  <c r="M47" i="131"/>
  <c r="N47" i="131"/>
  <c r="N42" i="131"/>
  <c r="M42" i="131"/>
  <c r="M37" i="131"/>
  <c r="N37" i="131"/>
  <c r="N32" i="131"/>
  <c r="M32" i="131"/>
  <c r="M26" i="131"/>
  <c r="N26" i="131"/>
  <c r="N20" i="131"/>
  <c r="M20" i="131"/>
  <c r="M12" i="131"/>
  <c r="N12" i="131"/>
  <c r="M20" i="113"/>
  <c r="N20" i="113"/>
  <c r="I11" i="81"/>
  <c r="M29" i="109"/>
  <c r="N29" i="109"/>
  <c r="M18" i="109"/>
  <c r="N18" i="109"/>
  <c r="I20" i="81"/>
  <c r="M14" i="114"/>
  <c r="N14" i="114"/>
  <c r="I16" i="81"/>
  <c r="M19" i="114"/>
  <c r="N19" i="114"/>
  <c r="N26" i="130"/>
  <c r="M26" i="130"/>
  <c r="N27" i="130"/>
  <c r="M27" i="130"/>
  <c r="N28" i="130"/>
  <c r="M28" i="130"/>
  <c r="N29" i="130"/>
  <c r="M29" i="130"/>
  <c r="N30" i="130"/>
  <c r="M30" i="130"/>
  <c r="N33" i="130"/>
  <c r="M33" i="130"/>
  <c r="N34" i="130"/>
  <c r="M34" i="130"/>
  <c r="N35" i="130"/>
  <c r="N36" i="130"/>
  <c r="M36" i="130"/>
  <c r="N37" i="130"/>
  <c r="M37" i="130"/>
  <c r="N31" i="130"/>
  <c r="M31" i="130"/>
  <c r="N32" i="130"/>
  <c r="M32" i="130"/>
  <c r="N13" i="126"/>
  <c r="M13" i="126"/>
  <c r="L38" i="130"/>
  <c r="G26" i="134"/>
  <c r="H26" i="134" s="1"/>
  <c r="G24" i="134"/>
  <c r="H24" i="134" s="1"/>
  <c r="G23" i="134"/>
  <c r="H23" i="134" s="1"/>
  <c r="L25" i="130"/>
  <c r="I14" i="81" s="1"/>
  <c r="N96" i="131"/>
  <c r="N25" i="130" l="1"/>
  <c r="M25" i="130"/>
  <c r="G22" i="134"/>
  <c r="H22" i="134" s="1"/>
  <c r="G28" i="134" l="1"/>
  <c r="H28" i="134" s="1"/>
  <c r="I36" i="142" l="1"/>
  <c r="L21" i="142"/>
  <c r="M21" i="142" l="1"/>
  <c r="N21" i="142"/>
  <c r="L33" i="109"/>
  <c r="L20" i="142" l="1"/>
  <c r="M20" i="142" s="1"/>
  <c r="N20" i="142" l="1"/>
  <c r="L18" i="138"/>
  <c r="M18" i="138" l="1"/>
  <c r="N18" i="138"/>
  <c r="D10" i="145"/>
  <c r="E10" i="145"/>
  <c r="F10" i="145"/>
  <c r="G10" i="145"/>
  <c r="H10" i="145"/>
  <c r="I10" i="145"/>
  <c r="J10" i="145"/>
  <c r="C10" i="145"/>
  <c r="B24" i="81" l="1"/>
  <c r="C23" i="4"/>
  <c r="B23" i="4"/>
  <c r="F23" i="4"/>
  <c r="D24" i="81"/>
  <c r="D23" i="4"/>
  <c r="E23" i="4"/>
  <c r="C24" i="81"/>
  <c r="D23" i="82"/>
  <c r="C23" i="82"/>
  <c r="B23" i="82"/>
  <c r="K10" i="145"/>
  <c r="L22" i="127"/>
  <c r="M22" i="127" l="1"/>
  <c r="N22" i="127"/>
  <c r="E23" i="82"/>
  <c r="L10" i="145"/>
  <c r="E24" i="81"/>
  <c r="G23" i="4"/>
  <c r="M10" i="145"/>
  <c r="N15" i="81"/>
  <c r="H23" i="4" l="1"/>
  <c r="E119" i="47"/>
  <c r="F119" i="47"/>
  <c r="D116" i="47"/>
  <c r="H116" i="47" l="1"/>
  <c r="D119" i="47"/>
  <c r="G19" i="109" l="1"/>
  <c r="E22" i="117"/>
  <c r="F22" i="117"/>
  <c r="G22" i="117"/>
  <c r="H22" i="117"/>
  <c r="I22" i="117"/>
  <c r="J22" i="117"/>
  <c r="K22" i="117"/>
  <c r="D22" i="117"/>
  <c r="L21" i="117"/>
  <c r="L35" i="142"/>
  <c r="L53" i="127"/>
  <c r="C29" i="4" l="1"/>
  <c r="B29" i="4"/>
  <c r="B30" i="81"/>
  <c r="B18" i="81"/>
  <c r="N35" i="142"/>
  <c r="D29" i="4"/>
  <c r="F29" i="4"/>
  <c r="E29" i="4"/>
  <c r="F126" i="47"/>
  <c r="E126" i="47"/>
  <c r="D126" i="47"/>
  <c r="F108" i="47"/>
  <c r="E108" i="47"/>
  <c r="D108" i="47"/>
  <c r="F101" i="47"/>
  <c r="E101" i="47"/>
  <c r="D101" i="47"/>
  <c r="F128" i="47" l="1"/>
  <c r="E128" i="47"/>
  <c r="D128" i="47"/>
  <c r="F110" i="47"/>
  <c r="D110" i="47"/>
  <c r="E110" i="47"/>
  <c r="L57" i="127" l="1"/>
  <c r="L58" i="127"/>
  <c r="L59" i="127"/>
  <c r="P15" i="81"/>
  <c r="O15" i="81"/>
  <c r="L43" i="127"/>
  <c r="L12" i="127"/>
  <c r="L10" i="127"/>
  <c r="M57" i="127" l="1"/>
  <c r="N57" i="127"/>
  <c r="N58" i="127"/>
  <c r="N12" i="127"/>
  <c r="M12" i="127"/>
  <c r="N43" i="127"/>
  <c r="M43" i="127"/>
  <c r="M10" i="127"/>
  <c r="N10" i="127"/>
  <c r="K31" i="109"/>
  <c r="J31" i="109"/>
  <c r="I31" i="109"/>
  <c r="H31" i="109"/>
  <c r="G31" i="109"/>
  <c r="E31" i="109"/>
  <c r="D31" i="109"/>
  <c r="F31" i="109"/>
  <c r="L34" i="109"/>
  <c r="N34" i="109" s="1"/>
  <c r="L32" i="109"/>
  <c r="K19" i="109"/>
  <c r="J19" i="109"/>
  <c r="I19" i="109"/>
  <c r="H19" i="109"/>
  <c r="F19" i="109"/>
  <c r="E19" i="109"/>
  <c r="D19" i="109"/>
  <c r="H9" i="109"/>
  <c r="G9" i="109"/>
  <c r="G35" i="109" s="1"/>
  <c r="F9" i="109"/>
  <c r="E9" i="109"/>
  <c r="D9" i="109"/>
  <c r="J9" i="109"/>
  <c r="J35" i="109" s="1"/>
  <c r="K9" i="109"/>
  <c r="K35" i="109" s="1"/>
  <c r="I9" i="109"/>
  <c r="L20" i="109"/>
  <c r="N20" i="109" s="1"/>
  <c r="L22" i="109"/>
  <c r="L23" i="109"/>
  <c r="L24" i="109"/>
  <c r="L25" i="109"/>
  <c r="L27" i="109"/>
  <c r="L10" i="109"/>
  <c r="N10" i="109" s="1"/>
  <c r="L12" i="109"/>
  <c r="M12" i="109" s="1"/>
  <c r="L13" i="109"/>
  <c r="M13" i="109" s="1"/>
  <c r="L14" i="109"/>
  <c r="M14" i="109" s="1"/>
  <c r="H35" i="109" l="1"/>
  <c r="I35" i="109"/>
  <c r="L31" i="109"/>
  <c r="N32" i="109"/>
  <c r="N27" i="109"/>
  <c r="N25" i="109"/>
  <c r="E35" i="109"/>
  <c r="F35" i="109"/>
  <c r="D35" i="109"/>
  <c r="L19" i="109"/>
  <c r="M23" i="109"/>
  <c r="N23" i="109"/>
  <c r="N24" i="109"/>
  <c r="M24" i="109"/>
  <c r="M22" i="109"/>
  <c r="N22" i="109"/>
  <c r="L9" i="109"/>
  <c r="M34" i="109"/>
  <c r="N13" i="109"/>
  <c r="N12" i="109"/>
  <c r="N14" i="109"/>
  <c r="L35" i="109" l="1"/>
  <c r="B20" i="81"/>
  <c r="C19" i="4"/>
  <c r="B19" i="4"/>
  <c r="K26" i="125"/>
  <c r="K25" i="125"/>
  <c r="L103" i="130" l="1"/>
  <c r="I93" i="130"/>
  <c r="J93" i="130"/>
  <c r="K93" i="130"/>
  <c r="I85" i="130"/>
  <c r="J85" i="130"/>
  <c r="K85" i="130"/>
  <c r="L66" i="130"/>
  <c r="L22" i="113"/>
  <c r="M22" i="113" s="1"/>
  <c r="I9" i="113"/>
  <c r="N105" i="130" l="1"/>
  <c r="N103" i="130"/>
  <c r="M103" i="130"/>
  <c r="N66" i="130"/>
  <c r="L85" i="130"/>
  <c r="N22" i="113"/>
  <c r="D31" i="4" l="1"/>
  <c r="F31" i="4"/>
  <c r="E31" i="4"/>
  <c r="N95" i="131"/>
  <c r="E24" i="118" l="1"/>
  <c r="F24" i="118"/>
  <c r="G24" i="118"/>
  <c r="H24" i="118"/>
  <c r="I24" i="118"/>
  <c r="J24" i="118"/>
  <c r="K24" i="118"/>
  <c r="D24" i="118"/>
  <c r="L12" i="118"/>
  <c r="B18" i="4" l="1"/>
  <c r="B19" i="81"/>
  <c r="C18" i="4"/>
  <c r="D18" i="4"/>
  <c r="F18" i="4"/>
  <c r="E18" i="4"/>
  <c r="L32" i="142"/>
  <c r="L18" i="142"/>
  <c r="M18" i="142" s="1"/>
  <c r="N18" i="142" l="1"/>
  <c r="M16" i="133" l="1"/>
  <c r="N16" i="133"/>
  <c r="H125" i="47"/>
  <c r="G122" i="47" l="1"/>
  <c r="H122" i="47" s="1"/>
  <c r="H24" i="140"/>
  <c r="I32" i="80"/>
  <c r="H105" i="47"/>
  <c r="I33" i="80" l="1"/>
  <c r="G124" i="47"/>
  <c r="G117" i="47" s="1"/>
  <c r="G119" i="47" s="1"/>
  <c r="G123" i="47"/>
  <c r="H123" i="47" s="1"/>
  <c r="H106" i="47"/>
  <c r="G101" i="47"/>
  <c r="H101" i="47" s="1"/>
  <c r="B23" i="12"/>
  <c r="C23" i="12"/>
  <c r="D23" i="12"/>
  <c r="E23" i="12"/>
  <c r="F23" i="12"/>
  <c r="B24" i="12"/>
  <c r="C24" i="12"/>
  <c r="D24" i="12"/>
  <c r="E24" i="12"/>
  <c r="F24" i="12"/>
  <c r="B25" i="12"/>
  <c r="C25" i="12"/>
  <c r="D25" i="12"/>
  <c r="E25" i="12"/>
  <c r="F25" i="12"/>
  <c r="B26" i="12"/>
  <c r="C26" i="12"/>
  <c r="D26" i="12"/>
  <c r="E26" i="12"/>
  <c r="F26" i="12"/>
  <c r="B22" i="12"/>
  <c r="C22" i="12"/>
  <c r="D22" i="12"/>
  <c r="E22" i="12"/>
  <c r="F22" i="12"/>
  <c r="B11" i="12"/>
  <c r="O11" i="81"/>
  <c r="P11" i="81"/>
  <c r="N11" i="81"/>
  <c r="O12" i="81"/>
  <c r="P12" i="81"/>
  <c r="N12" i="81"/>
  <c r="O16" i="81"/>
  <c r="P16" i="81"/>
  <c r="N16" i="81"/>
  <c r="O19" i="81"/>
  <c r="P19" i="81"/>
  <c r="N19" i="81"/>
  <c r="O20" i="81"/>
  <c r="P20" i="81"/>
  <c r="N20" i="81"/>
  <c r="K31" i="81"/>
  <c r="L31" i="81"/>
  <c r="J31" i="81"/>
  <c r="J25" i="81"/>
  <c r="K22" i="81"/>
  <c r="L22" i="81"/>
  <c r="J22" i="81"/>
  <c r="K18" i="81"/>
  <c r="L18" i="81"/>
  <c r="J18" i="81"/>
  <c r="L16" i="81"/>
  <c r="J16" i="81"/>
  <c r="L15" i="81"/>
  <c r="J15" i="81"/>
  <c r="C47" i="134"/>
  <c r="B47" i="134"/>
  <c r="L16" i="127"/>
  <c r="C48" i="134"/>
  <c r="D48" i="134"/>
  <c r="E48" i="134"/>
  <c r="F48" i="134"/>
  <c r="C51" i="134"/>
  <c r="D51" i="134"/>
  <c r="E51" i="134"/>
  <c r="F51" i="134"/>
  <c r="B51" i="134"/>
  <c r="B50" i="134"/>
  <c r="C49" i="134"/>
  <c r="D49" i="134"/>
  <c r="E49" i="134"/>
  <c r="F49" i="134"/>
  <c r="B49" i="134"/>
  <c r="B48" i="134"/>
  <c r="C39" i="134"/>
  <c r="D39" i="134"/>
  <c r="E39" i="134"/>
  <c r="F39" i="134"/>
  <c r="B39" i="134"/>
  <c r="C38" i="134"/>
  <c r="D38" i="134"/>
  <c r="F38" i="134"/>
  <c r="B38" i="134"/>
  <c r="C37" i="134"/>
  <c r="D37" i="134"/>
  <c r="E37" i="134"/>
  <c r="F37" i="134"/>
  <c r="B37" i="134"/>
  <c r="C36" i="134"/>
  <c r="D36" i="134"/>
  <c r="F36" i="134"/>
  <c r="B36" i="134"/>
  <c r="C35" i="134"/>
  <c r="D35" i="134"/>
  <c r="F35" i="134"/>
  <c r="B35" i="134"/>
  <c r="C15" i="134"/>
  <c r="E15" i="134"/>
  <c r="F15" i="134"/>
  <c r="C14" i="134"/>
  <c r="F14" i="134"/>
  <c r="C13" i="134"/>
  <c r="E13" i="134"/>
  <c r="F13" i="134"/>
  <c r="C12" i="134"/>
  <c r="E12" i="134"/>
  <c r="F12" i="134"/>
  <c r="C11" i="134"/>
  <c r="E11" i="134"/>
  <c r="F11" i="134"/>
  <c r="M16" i="127" l="1"/>
  <c r="N16" i="127"/>
  <c r="H124" i="47"/>
  <c r="G126" i="47"/>
  <c r="H126" i="47" s="1"/>
  <c r="G108" i="47"/>
  <c r="G110" i="47" s="1"/>
  <c r="H119" i="47"/>
  <c r="H117" i="47"/>
  <c r="H108" i="47" l="1"/>
  <c r="G128" i="47"/>
  <c r="F21" i="113"/>
  <c r="E93" i="130" l="1"/>
  <c r="E85" i="130"/>
  <c r="E76" i="130"/>
  <c r="E69" i="130"/>
  <c r="E64" i="130"/>
  <c r="E59" i="130"/>
  <c r="E48" i="130"/>
  <c r="C10" i="134"/>
  <c r="E9" i="130"/>
  <c r="E110" i="130" s="1"/>
  <c r="C13" i="4" l="1"/>
  <c r="C34" i="134"/>
  <c r="E84" i="130"/>
  <c r="C46" i="134"/>
  <c r="E58" i="130"/>
  <c r="L92" i="130"/>
  <c r="F85" i="130"/>
  <c r="G85" i="130"/>
  <c r="H85" i="130"/>
  <c r="D85" i="130"/>
  <c r="L90" i="130"/>
  <c r="L86" i="130"/>
  <c r="F64" i="130"/>
  <c r="G64" i="130"/>
  <c r="H64" i="130"/>
  <c r="I64" i="130"/>
  <c r="J64" i="130"/>
  <c r="K64" i="130"/>
  <c r="D64" i="130"/>
  <c r="L65" i="130"/>
  <c r="F59" i="130"/>
  <c r="G59" i="130"/>
  <c r="H59" i="130"/>
  <c r="I59" i="130"/>
  <c r="J59" i="130"/>
  <c r="K59" i="130"/>
  <c r="D59" i="130"/>
  <c r="L60" i="130"/>
  <c r="L59" i="130" l="1"/>
  <c r="N92" i="130"/>
  <c r="N86" i="130"/>
  <c r="L64" i="130"/>
  <c r="N65" i="130"/>
  <c r="D9" i="138" l="1"/>
  <c r="L12" i="114"/>
  <c r="L15" i="114"/>
  <c r="L13" i="114"/>
  <c r="L18" i="127"/>
  <c r="L21" i="127"/>
  <c r="L19" i="127"/>
  <c r="D93" i="130"/>
  <c r="D76" i="130"/>
  <c r="B34" i="134" s="1"/>
  <c r="D69" i="130"/>
  <c r="D48" i="130"/>
  <c r="B46" i="134" s="1"/>
  <c r="D38" i="130"/>
  <c r="B10" i="134" s="1"/>
  <c r="D9" i="130"/>
  <c r="D110" i="130" s="1"/>
  <c r="F9" i="130"/>
  <c r="F38" i="130"/>
  <c r="D10" i="134" s="1"/>
  <c r="F48" i="130"/>
  <c r="F69" i="130"/>
  <c r="F76" i="130"/>
  <c r="F93" i="130"/>
  <c r="D21" i="113"/>
  <c r="D9" i="113"/>
  <c r="I11" i="80"/>
  <c r="K23" i="16"/>
  <c r="K20" i="16"/>
  <c r="K17" i="16"/>
  <c r="K14" i="16"/>
  <c r="K13" i="16"/>
  <c r="F24" i="16"/>
  <c r="I24" i="2"/>
  <c r="I25" i="2"/>
  <c r="I26" i="2"/>
  <c r="I27" i="2"/>
  <c r="I9" i="2"/>
  <c r="I10" i="2"/>
  <c r="I11" i="2"/>
  <c r="I12" i="2"/>
  <c r="I22" i="2"/>
  <c r="H39" i="47"/>
  <c r="D30" i="12"/>
  <c r="D13" i="12"/>
  <c r="F110" i="130" l="1"/>
  <c r="D25" i="113"/>
  <c r="B17" i="4"/>
  <c r="B12" i="4"/>
  <c r="M18" i="127"/>
  <c r="M19" i="127"/>
  <c r="M21" i="127"/>
  <c r="J14" i="81"/>
  <c r="D34" i="134"/>
  <c r="D46" i="134"/>
  <c r="N14" i="81"/>
  <c r="F9" i="113"/>
  <c r="F25" i="113" s="1"/>
  <c r="B11" i="81" l="1"/>
  <c r="B10" i="4"/>
  <c r="B13" i="4"/>
  <c r="B13" i="81"/>
  <c r="B14" i="81"/>
  <c r="D10" i="4"/>
  <c r="D12" i="4"/>
  <c r="D13" i="4"/>
  <c r="L91" i="130"/>
  <c r="N91" i="130" l="1"/>
  <c r="M91" i="130"/>
  <c r="J33" i="81"/>
  <c r="L34" i="142"/>
  <c r="L33" i="142"/>
  <c r="L22" i="142"/>
  <c r="L14" i="142"/>
  <c r="Q31" i="81" s="1"/>
  <c r="L17" i="142"/>
  <c r="L15" i="142"/>
  <c r="K36" i="142"/>
  <c r="J36" i="142"/>
  <c r="H36" i="142"/>
  <c r="G36" i="142"/>
  <c r="F36" i="142"/>
  <c r="L12" i="142"/>
  <c r="L9" i="142"/>
  <c r="L18" i="117"/>
  <c r="L16" i="117"/>
  <c r="L15" i="117"/>
  <c r="L14" i="117"/>
  <c r="L13" i="117"/>
  <c r="L12" i="117"/>
  <c r="L11" i="117"/>
  <c r="N11" i="117" s="1"/>
  <c r="L9" i="117"/>
  <c r="J12" i="121"/>
  <c r="I12" i="121"/>
  <c r="H12" i="121"/>
  <c r="G12" i="121"/>
  <c r="F12" i="121"/>
  <c r="E12" i="121"/>
  <c r="D12" i="121"/>
  <c r="C12" i="121"/>
  <c r="K11" i="121"/>
  <c r="L11" i="121" s="1"/>
  <c r="K10" i="121"/>
  <c r="L10" i="121" s="1"/>
  <c r="K9" i="121"/>
  <c r="J18" i="119"/>
  <c r="I18" i="119"/>
  <c r="H18" i="119"/>
  <c r="G18" i="119"/>
  <c r="F18" i="119"/>
  <c r="E18" i="119"/>
  <c r="D18" i="119"/>
  <c r="C18" i="119"/>
  <c r="K17" i="119"/>
  <c r="K16" i="119"/>
  <c r="K15" i="119"/>
  <c r="K13" i="119"/>
  <c r="K12" i="119"/>
  <c r="K11" i="119"/>
  <c r="K10" i="119"/>
  <c r="K9" i="119"/>
  <c r="K117" i="131"/>
  <c r="K122" i="131" s="1"/>
  <c r="J117" i="131"/>
  <c r="J122" i="131" s="1"/>
  <c r="I117" i="131"/>
  <c r="I122" i="131" s="1"/>
  <c r="H117" i="131"/>
  <c r="F117" i="131"/>
  <c r="F122" i="131" s="1"/>
  <c r="E117" i="131"/>
  <c r="K98" i="131"/>
  <c r="J98" i="131"/>
  <c r="I98" i="131"/>
  <c r="H98" i="131"/>
  <c r="G98" i="131"/>
  <c r="G123" i="131" s="1"/>
  <c r="F98" i="131"/>
  <c r="F123" i="131" s="1"/>
  <c r="E98" i="131"/>
  <c r="N94" i="131"/>
  <c r="K85" i="131"/>
  <c r="K123" i="131" s="1"/>
  <c r="J85" i="131"/>
  <c r="J123" i="131" s="1"/>
  <c r="I85" i="131"/>
  <c r="I123" i="131" s="1"/>
  <c r="L93" i="131"/>
  <c r="N93" i="131" s="1"/>
  <c r="L81" i="131"/>
  <c r="N81" i="131" s="1"/>
  <c r="L84" i="131"/>
  <c r="M84" i="131" s="1"/>
  <c r="L82" i="131"/>
  <c r="L76" i="131"/>
  <c r="L79" i="131"/>
  <c r="N79" i="131" s="1"/>
  <c r="L77" i="131"/>
  <c r="L71" i="131"/>
  <c r="L74" i="131"/>
  <c r="N74" i="131" s="1"/>
  <c r="L72" i="131"/>
  <c r="L66" i="131"/>
  <c r="N66" i="131" s="1"/>
  <c r="L69" i="131"/>
  <c r="N69" i="131" s="1"/>
  <c r="L67" i="131"/>
  <c r="L61" i="131"/>
  <c r="L64" i="131"/>
  <c r="M64" i="131" s="1"/>
  <c r="L62" i="131"/>
  <c r="L59" i="131"/>
  <c r="N59" i="131" s="1"/>
  <c r="L55" i="131"/>
  <c r="L58" i="131"/>
  <c r="M58" i="131" s="1"/>
  <c r="L50" i="131"/>
  <c r="M50" i="131" s="1"/>
  <c r="L53" i="131"/>
  <c r="M53" i="131" s="1"/>
  <c r="L51" i="131"/>
  <c r="L45" i="131"/>
  <c r="L48" i="131"/>
  <c r="M48" i="131" s="1"/>
  <c r="L46" i="131"/>
  <c r="L40" i="131"/>
  <c r="L43" i="131"/>
  <c r="N43" i="131" s="1"/>
  <c r="L41" i="131"/>
  <c r="L35" i="131"/>
  <c r="M35" i="131" s="1"/>
  <c r="L38" i="131"/>
  <c r="M38" i="131" s="1"/>
  <c r="L36" i="131"/>
  <c r="L33" i="131"/>
  <c r="L31" i="131"/>
  <c r="L24" i="131"/>
  <c r="L27" i="131"/>
  <c r="L25" i="131"/>
  <c r="L22" i="131"/>
  <c r="M22" i="131" s="1"/>
  <c r="L18" i="131"/>
  <c r="L21" i="131"/>
  <c r="L19" i="131"/>
  <c r="L16" i="131"/>
  <c r="L14" i="131"/>
  <c r="L10" i="131"/>
  <c r="L13" i="131"/>
  <c r="L11" i="131"/>
  <c r="J10" i="115"/>
  <c r="I10" i="115"/>
  <c r="H10" i="115"/>
  <c r="G10" i="115"/>
  <c r="F10" i="115"/>
  <c r="E10" i="115"/>
  <c r="D10" i="115"/>
  <c r="C10" i="115"/>
  <c r="K9" i="115"/>
  <c r="K10" i="115" s="1"/>
  <c r="D25" i="138"/>
  <c r="L24" i="138"/>
  <c r="L23" i="138"/>
  <c r="L21" i="138"/>
  <c r="N21" i="138" s="1"/>
  <c r="L20" i="138"/>
  <c r="L17" i="138"/>
  <c r="N17" i="138" s="1"/>
  <c r="L16" i="138"/>
  <c r="M16" i="138" s="1"/>
  <c r="L14" i="138"/>
  <c r="L13" i="138"/>
  <c r="L12" i="138"/>
  <c r="M12" i="138" s="1"/>
  <c r="L11" i="138"/>
  <c r="L10" i="138"/>
  <c r="K9" i="138"/>
  <c r="K25" i="138" s="1"/>
  <c r="J9" i="138"/>
  <c r="J25" i="138" s="1"/>
  <c r="I9" i="138"/>
  <c r="H9" i="138"/>
  <c r="H25" i="138" s="1"/>
  <c r="G9" i="138"/>
  <c r="G25" i="138" s="1"/>
  <c r="F9" i="138"/>
  <c r="F25" i="138" s="1"/>
  <c r="E9" i="138"/>
  <c r="E25" i="138" s="1"/>
  <c r="J37" i="125"/>
  <c r="I37" i="125"/>
  <c r="H37" i="125"/>
  <c r="G37" i="125"/>
  <c r="F37" i="125"/>
  <c r="E37" i="125"/>
  <c r="D37" i="125"/>
  <c r="C37" i="125"/>
  <c r="K36" i="125"/>
  <c r="K35" i="125"/>
  <c r="K34" i="125"/>
  <c r="K33" i="125"/>
  <c r="K32" i="125"/>
  <c r="L32" i="125" s="1"/>
  <c r="K28" i="125"/>
  <c r="K27" i="125"/>
  <c r="K24" i="125"/>
  <c r="L24" i="125" s="1"/>
  <c r="K23" i="125"/>
  <c r="K22" i="125"/>
  <c r="K21" i="125"/>
  <c r="K20" i="125"/>
  <c r="K19" i="125"/>
  <c r="K18" i="125"/>
  <c r="M18" i="125" s="1"/>
  <c r="K17" i="125"/>
  <c r="L17" i="125" s="1"/>
  <c r="K16" i="125"/>
  <c r="K15" i="125"/>
  <c r="K14" i="125"/>
  <c r="K13" i="125"/>
  <c r="K12" i="125"/>
  <c r="K11" i="125"/>
  <c r="K9" i="125"/>
  <c r="L9" i="125" s="1"/>
  <c r="L28" i="109"/>
  <c r="L17" i="109"/>
  <c r="M9" i="109"/>
  <c r="L23" i="118"/>
  <c r="N23" i="118" s="1"/>
  <c r="L22" i="118"/>
  <c r="L21" i="118"/>
  <c r="L20" i="118"/>
  <c r="L19" i="118"/>
  <c r="L18" i="118"/>
  <c r="L17" i="118"/>
  <c r="L16" i="118"/>
  <c r="L15" i="118"/>
  <c r="L13" i="118"/>
  <c r="L11" i="118"/>
  <c r="M11" i="118" s="1"/>
  <c r="L9" i="118"/>
  <c r="L29" i="110"/>
  <c r="L25" i="110"/>
  <c r="L23" i="110"/>
  <c r="L18" i="110"/>
  <c r="N18" i="110" s="1"/>
  <c r="L14" i="110"/>
  <c r="Q18" i="81" s="1"/>
  <c r="L17" i="110"/>
  <c r="L15" i="110"/>
  <c r="G13" i="134" s="1"/>
  <c r="L9" i="110"/>
  <c r="L20" i="133"/>
  <c r="L17" i="133"/>
  <c r="L14" i="133"/>
  <c r="L12" i="133"/>
  <c r="N12" i="133" s="1"/>
  <c r="L11" i="133"/>
  <c r="N11" i="133" s="1"/>
  <c r="L10" i="133"/>
  <c r="M10" i="133" s="1"/>
  <c r="L9" i="133"/>
  <c r="L22" i="114"/>
  <c r="N22" i="114" s="1"/>
  <c r="L21" i="114"/>
  <c r="M21" i="114" s="1"/>
  <c r="L17" i="114"/>
  <c r="L20" i="114"/>
  <c r="L18" i="114"/>
  <c r="M12" i="114"/>
  <c r="Q16" i="81"/>
  <c r="M15" i="114"/>
  <c r="M13" i="114"/>
  <c r="N13" i="114"/>
  <c r="F23" i="114"/>
  <c r="L9" i="114"/>
  <c r="L77" i="127"/>
  <c r="L73" i="127"/>
  <c r="L76" i="127"/>
  <c r="M76" i="127" s="1"/>
  <c r="L74" i="127"/>
  <c r="M74" i="127" s="1"/>
  <c r="L46" i="127"/>
  <c r="M46" i="127" s="1"/>
  <c r="L49" i="127"/>
  <c r="M49" i="127" s="1"/>
  <c r="L47" i="127"/>
  <c r="L41" i="127"/>
  <c r="M41" i="127" s="1"/>
  <c r="L38" i="127"/>
  <c r="L37" i="127"/>
  <c r="L35" i="127"/>
  <c r="M35" i="127" s="1"/>
  <c r="L34" i="127"/>
  <c r="N34" i="127" s="1"/>
  <c r="L33" i="127"/>
  <c r="L32" i="127"/>
  <c r="N32" i="127" s="1"/>
  <c r="L30" i="127"/>
  <c r="N30" i="127" s="1"/>
  <c r="K29" i="127"/>
  <c r="K78" i="127" s="1"/>
  <c r="J29" i="127"/>
  <c r="J78" i="127" s="1"/>
  <c r="I29" i="127"/>
  <c r="I78" i="127" s="1"/>
  <c r="H29" i="127"/>
  <c r="H78" i="127" s="1"/>
  <c r="G29" i="127"/>
  <c r="G78" i="127" s="1"/>
  <c r="E29" i="127"/>
  <c r="L25" i="127"/>
  <c r="L26" i="127"/>
  <c r="L23" i="127"/>
  <c r="N21" i="127"/>
  <c r="N19" i="127"/>
  <c r="L15" i="127"/>
  <c r="L14" i="127"/>
  <c r="L11" i="127"/>
  <c r="L9" i="127"/>
  <c r="L104" i="130"/>
  <c r="L108" i="130"/>
  <c r="M108" i="130" s="1"/>
  <c r="L107" i="130"/>
  <c r="M107" i="130" s="1"/>
  <c r="L100" i="130"/>
  <c r="L99" i="130"/>
  <c r="H93" i="130"/>
  <c r="G93" i="130"/>
  <c r="L89" i="130"/>
  <c r="L88" i="130"/>
  <c r="L87" i="130"/>
  <c r="L83" i="130"/>
  <c r="M83" i="130" s="1"/>
  <c r="L82" i="130"/>
  <c r="N82" i="130" s="1"/>
  <c r="L80" i="130"/>
  <c r="L79" i="130"/>
  <c r="N79" i="130" s="1"/>
  <c r="L78" i="130"/>
  <c r="M78" i="130" s="1"/>
  <c r="L77" i="130"/>
  <c r="K76" i="130"/>
  <c r="K84" i="130" s="1"/>
  <c r="J76" i="130"/>
  <c r="J84" i="130" s="1"/>
  <c r="I76" i="130"/>
  <c r="I84" i="130" s="1"/>
  <c r="H76" i="130"/>
  <c r="H84" i="130" s="1"/>
  <c r="G76" i="130"/>
  <c r="G84" i="130" s="1"/>
  <c r="L75" i="130"/>
  <c r="N75" i="130" s="1"/>
  <c r="L74" i="130"/>
  <c r="L73" i="130"/>
  <c r="L72" i="130"/>
  <c r="L71" i="130"/>
  <c r="L70" i="130"/>
  <c r="K69" i="130"/>
  <c r="J69" i="130"/>
  <c r="I69" i="130"/>
  <c r="H69" i="130"/>
  <c r="G69" i="130"/>
  <c r="L68" i="130"/>
  <c r="N68" i="130" s="1"/>
  <c r="L67" i="130"/>
  <c r="L63" i="130"/>
  <c r="N63" i="130" s="1"/>
  <c r="L62" i="130"/>
  <c r="L61" i="130"/>
  <c r="L57" i="130"/>
  <c r="L56" i="130"/>
  <c r="L55" i="130"/>
  <c r="L54" i="130"/>
  <c r="L53" i="130"/>
  <c r="L52" i="130"/>
  <c r="L51" i="130"/>
  <c r="L50" i="130"/>
  <c r="L49" i="130"/>
  <c r="M47" i="130"/>
  <c r="N46" i="130"/>
  <c r="L45" i="130"/>
  <c r="M45" i="130" s="1"/>
  <c r="L44" i="130"/>
  <c r="N44" i="130" s="1"/>
  <c r="L43" i="130"/>
  <c r="N43" i="130" s="1"/>
  <c r="L42" i="130"/>
  <c r="M42" i="130" s="1"/>
  <c r="L41" i="130"/>
  <c r="N41" i="130" s="1"/>
  <c r="L40" i="130"/>
  <c r="M40" i="130" s="1"/>
  <c r="L39" i="130"/>
  <c r="N39" i="130" s="1"/>
  <c r="H38" i="130"/>
  <c r="G38" i="130"/>
  <c r="L22" i="130"/>
  <c r="L24" i="130"/>
  <c r="L21" i="130"/>
  <c r="N21" i="130" s="1"/>
  <c r="L20" i="130"/>
  <c r="M20" i="130" s="1"/>
  <c r="L19" i="130"/>
  <c r="N19" i="130" s="1"/>
  <c r="L18" i="130"/>
  <c r="L17" i="130"/>
  <c r="M17" i="130" s="1"/>
  <c r="L16" i="130"/>
  <c r="N16" i="130" s="1"/>
  <c r="L15" i="130"/>
  <c r="N15" i="130" s="1"/>
  <c r="L14" i="130"/>
  <c r="M14" i="130" s="1"/>
  <c r="L13" i="130"/>
  <c r="N13" i="130" s="1"/>
  <c r="M12" i="130"/>
  <c r="N11" i="130"/>
  <c r="K9" i="130"/>
  <c r="J9" i="130"/>
  <c r="I9" i="130"/>
  <c r="I110" i="130" s="1"/>
  <c r="H9" i="130"/>
  <c r="G9" i="130"/>
  <c r="L22" i="126"/>
  <c r="L21" i="126"/>
  <c r="M21" i="126" s="1"/>
  <c r="L20" i="126"/>
  <c r="L18" i="126"/>
  <c r="I33" i="81" s="1"/>
  <c r="L15" i="126"/>
  <c r="L11" i="126"/>
  <c r="L12" i="126"/>
  <c r="L9" i="126"/>
  <c r="L11" i="112"/>
  <c r="Q12" i="81" s="1"/>
  <c r="L10" i="112"/>
  <c r="M10" i="112" s="1"/>
  <c r="L9" i="112"/>
  <c r="L24" i="113"/>
  <c r="N24" i="113" s="1"/>
  <c r="L23" i="113"/>
  <c r="K21" i="113"/>
  <c r="J21" i="113"/>
  <c r="I21" i="113"/>
  <c r="H21" i="113"/>
  <c r="E21" i="113"/>
  <c r="L19" i="113"/>
  <c r="L18" i="113"/>
  <c r="N18" i="113" s="1"/>
  <c r="L17" i="113"/>
  <c r="M17" i="113" s="1"/>
  <c r="L16" i="113"/>
  <c r="N16" i="113" s="1"/>
  <c r="L15" i="113"/>
  <c r="M15" i="113" s="1"/>
  <c r="L14" i="113"/>
  <c r="L13" i="113"/>
  <c r="L12" i="113"/>
  <c r="N12" i="113" s="1"/>
  <c r="L10" i="113"/>
  <c r="K9" i="113"/>
  <c r="J9" i="113"/>
  <c r="H9" i="113"/>
  <c r="G9" i="113"/>
  <c r="E9" i="113"/>
  <c r="L20" i="120"/>
  <c r="L19" i="120"/>
  <c r="L17" i="120"/>
  <c r="L16" i="120"/>
  <c r="L15" i="120"/>
  <c r="L14" i="120"/>
  <c r="M10" i="81" s="1"/>
  <c r="L13" i="120"/>
  <c r="L11" i="120"/>
  <c r="L10" i="120"/>
  <c r="L9" i="120"/>
  <c r="C40" i="134"/>
  <c r="B40" i="134"/>
  <c r="C16" i="134"/>
  <c r="G67" i="47"/>
  <c r="H67" i="47" s="1"/>
  <c r="D11" i="144"/>
  <c r="D9" i="80"/>
  <c r="H9" i="80"/>
  <c r="G9" i="80"/>
  <c r="F9" i="80"/>
  <c r="J37" i="16"/>
  <c r="G69" i="47" s="1"/>
  <c r="H69" i="47" s="1"/>
  <c r="I37" i="16"/>
  <c r="F69" i="47" s="1"/>
  <c r="H37" i="16"/>
  <c r="G37" i="16"/>
  <c r="F37" i="16"/>
  <c r="E37" i="16"/>
  <c r="K36" i="16"/>
  <c r="K35" i="16"/>
  <c r="K34" i="16"/>
  <c r="J21" i="16"/>
  <c r="K21" i="16" s="1"/>
  <c r="I21" i="16"/>
  <c r="H21" i="16"/>
  <c r="F21" i="16"/>
  <c r="J18" i="16"/>
  <c r="K18" i="16" s="1"/>
  <c r="I18" i="16"/>
  <c r="H18" i="16"/>
  <c r="F18" i="16"/>
  <c r="J15" i="16"/>
  <c r="K15" i="16" s="1"/>
  <c r="I15" i="16"/>
  <c r="H15" i="16"/>
  <c r="F15" i="16"/>
  <c r="J12" i="16"/>
  <c r="K12" i="16" s="1"/>
  <c r="I12" i="16"/>
  <c r="H12" i="16"/>
  <c r="F12" i="16"/>
  <c r="K11" i="16"/>
  <c r="K10" i="16"/>
  <c r="J9" i="16"/>
  <c r="I9" i="16"/>
  <c r="H9" i="16"/>
  <c r="F9" i="16"/>
  <c r="G28" i="2"/>
  <c r="F28" i="2"/>
  <c r="E28" i="2"/>
  <c r="D28" i="2"/>
  <c r="C50" i="47" s="1"/>
  <c r="C28" i="2"/>
  <c r="I23" i="2"/>
  <c r="H79" i="47"/>
  <c r="G35" i="47"/>
  <c r="F35" i="47"/>
  <c r="E35" i="47"/>
  <c r="D35" i="47"/>
  <c r="B35" i="47"/>
  <c r="H15" i="47"/>
  <c r="H13" i="47"/>
  <c r="H12" i="47"/>
  <c r="H11" i="47"/>
  <c r="H10" i="47"/>
  <c r="F30" i="12"/>
  <c r="E30" i="12"/>
  <c r="G26" i="12"/>
  <c r="H26" i="12" s="1"/>
  <c r="G24" i="12"/>
  <c r="H24" i="12" s="1"/>
  <c r="G23" i="12"/>
  <c r="H23" i="12" s="1"/>
  <c r="H21" i="12"/>
  <c r="F13" i="12"/>
  <c r="E13" i="12"/>
  <c r="C13" i="12"/>
  <c r="H12" i="12"/>
  <c r="H11" i="12"/>
  <c r="H10" i="12"/>
  <c r="H9" i="12"/>
  <c r="K110" i="130" l="1"/>
  <c r="J110" i="130"/>
  <c r="E123" i="131"/>
  <c r="H123" i="131"/>
  <c r="G110" i="130"/>
  <c r="L21" i="120"/>
  <c r="B28" i="4"/>
  <c r="C28" i="4"/>
  <c r="B50" i="47"/>
  <c r="D50" i="47"/>
  <c r="H110" i="130"/>
  <c r="C21" i="4"/>
  <c r="B21" i="4"/>
  <c r="H25" i="113"/>
  <c r="J25" i="113"/>
  <c r="K25" i="113"/>
  <c r="G25" i="113"/>
  <c r="E25" i="113"/>
  <c r="I25" i="113"/>
  <c r="L21" i="133"/>
  <c r="C16" i="4"/>
  <c r="B17" i="81"/>
  <c r="B16" i="4"/>
  <c r="B22" i="4"/>
  <c r="C22" i="4"/>
  <c r="D22" i="82"/>
  <c r="C22" i="82"/>
  <c r="L122" i="131"/>
  <c r="N122" i="131" s="1"/>
  <c r="P25" i="81"/>
  <c r="H122" i="131"/>
  <c r="C24" i="4"/>
  <c r="L33" i="125"/>
  <c r="M33" i="125"/>
  <c r="B21" i="81"/>
  <c r="B25" i="4"/>
  <c r="B26" i="81"/>
  <c r="C25" i="4"/>
  <c r="M19" i="113"/>
  <c r="N19" i="113"/>
  <c r="L12" i="112"/>
  <c r="L22" i="138"/>
  <c r="M22" i="138" s="1"/>
  <c r="B22" i="81"/>
  <c r="E36" i="142"/>
  <c r="C17" i="4"/>
  <c r="N23" i="110"/>
  <c r="N25" i="110"/>
  <c r="M29" i="110"/>
  <c r="N29" i="110"/>
  <c r="B16" i="81"/>
  <c r="C12" i="4"/>
  <c r="B31" i="81"/>
  <c r="D37" i="80"/>
  <c r="N88" i="130"/>
  <c r="N74" i="130"/>
  <c r="N89" i="130"/>
  <c r="N73" i="130"/>
  <c r="N49" i="130"/>
  <c r="N50" i="130"/>
  <c r="N55" i="130"/>
  <c r="N51" i="130"/>
  <c r="N52" i="130"/>
  <c r="N70" i="130"/>
  <c r="N53" i="130"/>
  <c r="N71" i="130"/>
  <c r="N72" i="130"/>
  <c r="N87" i="130"/>
  <c r="L117" i="131"/>
  <c r="G50" i="134" s="1"/>
  <c r="L98" i="131"/>
  <c r="B15" i="81"/>
  <c r="I23" i="114"/>
  <c r="M24" i="138"/>
  <c r="B23" i="81"/>
  <c r="D22" i="4"/>
  <c r="G14" i="134"/>
  <c r="B28" i="81"/>
  <c r="D27" i="4"/>
  <c r="B29" i="81"/>
  <c r="D28" i="4"/>
  <c r="L17" i="141"/>
  <c r="M17" i="141"/>
  <c r="M9" i="126"/>
  <c r="N12" i="126"/>
  <c r="G9" i="134"/>
  <c r="I29" i="80"/>
  <c r="I35" i="80"/>
  <c r="G50" i="47"/>
  <c r="F50" i="47"/>
  <c r="E50" i="47"/>
  <c r="N23" i="127"/>
  <c r="M73" i="127"/>
  <c r="N73" i="127"/>
  <c r="M14" i="127"/>
  <c r="N14" i="127"/>
  <c r="M15" i="127"/>
  <c r="N15" i="127"/>
  <c r="N37" i="127"/>
  <c r="D25" i="4"/>
  <c r="D11" i="4"/>
  <c r="D9" i="4"/>
  <c r="D20" i="4"/>
  <c r="M32" i="125"/>
  <c r="E20" i="4"/>
  <c r="F20" i="4"/>
  <c r="L16" i="125"/>
  <c r="M16" i="125"/>
  <c r="D17" i="4"/>
  <c r="F17" i="4"/>
  <c r="E17" i="4"/>
  <c r="F28" i="4"/>
  <c r="E28" i="4"/>
  <c r="F27" i="4"/>
  <c r="E27" i="4"/>
  <c r="M18" i="117"/>
  <c r="N18" i="117"/>
  <c r="M16" i="117"/>
  <c r="N16" i="117"/>
  <c r="N15" i="117"/>
  <c r="M15" i="117"/>
  <c r="M14" i="117"/>
  <c r="N14" i="117"/>
  <c r="M13" i="117"/>
  <c r="N13" i="117"/>
  <c r="N29" i="131"/>
  <c r="N70" i="131"/>
  <c r="M82" i="131"/>
  <c r="N77" i="131"/>
  <c r="N67" i="131"/>
  <c r="M62" i="131"/>
  <c r="N60" i="131"/>
  <c r="M61" i="131"/>
  <c r="N61" i="131"/>
  <c r="N55" i="131"/>
  <c r="M55" i="131"/>
  <c r="N54" i="131"/>
  <c r="N51" i="131"/>
  <c r="M49" i="131"/>
  <c r="N41" i="131"/>
  <c r="D16" i="4"/>
  <c r="F16" i="4"/>
  <c r="E16" i="4"/>
  <c r="F22" i="4"/>
  <c r="E22" i="4"/>
  <c r="D46" i="47"/>
  <c r="D30" i="4"/>
  <c r="M34" i="142"/>
  <c r="N34" i="142"/>
  <c r="F30" i="4"/>
  <c r="E30" i="4"/>
  <c r="N12" i="117"/>
  <c r="M12" i="117"/>
  <c r="E10" i="4"/>
  <c r="E21" i="4"/>
  <c r="N67" i="130"/>
  <c r="N100" i="130"/>
  <c r="N104" i="130"/>
  <c r="M104" i="130"/>
  <c r="N94" i="130"/>
  <c r="N107" i="130"/>
  <c r="N96" i="130"/>
  <c r="N95" i="130"/>
  <c r="N108" i="130"/>
  <c r="E12" i="4"/>
  <c r="M22" i="118"/>
  <c r="N22" i="118"/>
  <c r="M21" i="118"/>
  <c r="N21" i="118"/>
  <c r="Q19" i="81"/>
  <c r="M20" i="118"/>
  <c r="N20" i="118"/>
  <c r="M19" i="118"/>
  <c r="N19" i="118"/>
  <c r="M18" i="118"/>
  <c r="N18" i="118"/>
  <c r="M17" i="118"/>
  <c r="N17" i="118"/>
  <c r="M16" i="118"/>
  <c r="N16" i="118"/>
  <c r="M15" i="118"/>
  <c r="N15" i="118"/>
  <c r="N13" i="118"/>
  <c r="M13" i="118"/>
  <c r="F11" i="4"/>
  <c r="E11" i="4"/>
  <c r="L13" i="119"/>
  <c r="F25" i="4"/>
  <c r="E25" i="4"/>
  <c r="M28" i="109"/>
  <c r="N28" i="109"/>
  <c r="M17" i="109"/>
  <c r="N17" i="109"/>
  <c r="D19" i="4"/>
  <c r="F19" i="4"/>
  <c r="M20" i="120"/>
  <c r="N19" i="120"/>
  <c r="N17" i="120"/>
  <c r="M17" i="120"/>
  <c r="M16" i="120"/>
  <c r="N16" i="120"/>
  <c r="M15" i="120"/>
  <c r="N15" i="120"/>
  <c r="M14" i="120"/>
  <c r="N14" i="120"/>
  <c r="M13" i="120"/>
  <c r="N13" i="120"/>
  <c r="F9" i="4"/>
  <c r="E9" i="4"/>
  <c r="D15" i="4"/>
  <c r="G48" i="134"/>
  <c r="D21" i="4"/>
  <c r="B46" i="47"/>
  <c r="N56" i="130"/>
  <c r="M56" i="130"/>
  <c r="M11" i="126"/>
  <c r="N11" i="126"/>
  <c r="M18" i="126"/>
  <c r="N18" i="126"/>
  <c r="M15" i="126"/>
  <c r="N15" i="126"/>
  <c r="G22" i="4"/>
  <c r="E23" i="81"/>
  <c r="I25" i="138"/>
  <c r="L9" i="138"/>
  <c r="G23" i="114"/>
  <c r="M80" i="130"/>
  <c r="N80" i="130"/>
  <c r="E37" i="80"/>
  <c r="O25" i="81"/>
  <c r="L85" i="131"/>
  <c r="L123" i="131" s="1"/>
  <c r="L45" i="127"/>
  <c r="M45" i="127" s="1"/>
  <c r="N36" i="127"/>
  <c r="Q15" i="81"/>
  <c r="G47" i="134"/>
  <c r="L13" i="142"/>
  <c r="M22" i="142"/>
  <c r="N22" i="142"/>
  <c r="L9" i="130"/>
  <c r="H13" i="134"/>
  <c r="M33" i="142"/>
  <c r="N33" i="142"/>
  <c r="M93" i="131"/>
  <c r="D50" i="134"/>
  <c r="D52" i="134" s="1"/>
  <c r="N25" i="81"/>
  <c r="N33" i="81" s="1"/>
  <c r="N14" i="113"/>
  <c r="H23" i="114"/>
  <c r="N25" i="127"/>
  <c r="M15" i="81"/>
  <c r="E10" i="134"/>
  <c r="E16" i="134" s="1"/>
  <c r="J24" i="16"/>
  <c r="G35" i="134"/>
  <c r="H35" i="134" s="1"/>
  <c r="M26" i="127"/>
  <c r="G11" i="134"/>
  <c r="D19" i="82"/>
  <c r="C19" i="82"/>
  <c r="D20" i="81"/>
  <c r="D20" i="82"/>
  <c r="C20" i="82"/>
  <c r="B20" i="82"/>
  <c r="D21" i="81"/>
  <c r="C21" i="81"/>
  <c r="B22" i="82"/>
  <c r="E22" i="82" s="1"/>
  <c r="D23" i="81"/>
  <c r="C23" i="81"/>
  <c r="L84" i="130"/>
  <c r="M84" i="130" s="1"/>
  <c r="L58" i="130"/>
  <c r="N58" i="130" s="1"/>
  <c r="E34" i="134"/>
  <c r="E40" i="134" s="1"/>
  <c r="K14" i="81"/>
  <c r="K33" i="81" s="1"/>
  <c r="F34" i="134"/>
  <c r="F40" i="134" s="1"/>
  <c r="L14" i="81"/>
  <c r="L33" i="81" s="1"/>
  <c r="P14" i="81"/>
  <c r="F46" i="134"/>
  <c r="O14" i="81"/>
  <c r="E46" i="134"/>
  <c r="F10" i="134"/>
  <c r="F16" i="134" s="1"/>
  <c r="M12" i="113"/>
  <c r="G49" i="134"/>
  <c r="H49" i="134" s="1"/>
  <c r="M18" i="81"/>
  <c r="G37" i="134"/>
  <c r="C32" i="81"/>
  <c r="D32" i="81"/>
  <c r="D11" i="82"/>
  <c r="C11" i="82"/>
  <c r="B11" i="82"/>
  <c r="D12" i="81"/>
  <c r="C12" i="81"/>
  <c r="M11" i="121"/>
  <c r="D26" i="82"/>
  <c r="C26" i="82"/>
  <c r="B26" i="82"/>
  <c r="D28" i="81"/>
  <c r="C28" i="81"/>
  <c r="D30" i="81"/>
  <c r="C30" i="81"/>
  <c r="C50" i="134"/>
  <c r="C64" i="134" s="1"/>
  <c r="F50" i="134"/>
  <c r="E50" i="134"/>
  <c r="M44" i="131"/>
  <c r="M10" i="131"/>
  <c r="N13" i="131"/>
  <c r="G38" i="134"/>
  <c r="H38" i="134" s="1"/>
  <c r="M13" i="131"/>
  <c r="N11" i="131"/>
  <c r="M9" i="118"/>
  <c r="L24" i="118"/>
  <c r="D18" i="82"/>
  <c r="C18" i="82"/>
  <c r="B18" i="82"/>
  <c r="N9" i="118"/>
  <c r="D19" i="81"/>
  <c r="C19" i="81"/>
  <c r="D27" i="82"/>
  <c r="C27" i="82"/>
  <c r="B27" i="82"/>
  <c r="D29" i="81"/>
  <c r="C29" i="81"/>
  <c r="G51" i="134"/>
  <c r="H51" i="134" s="1"/>
  <c r="M14" i="142"/>
  <c r="N14" i="142"/>
  <c r="C31" i="81"/>
  <c r="D31" i="81"/>
  <c r="B29" i="82"/>
  <c r="N17" i="142"/>
  <c r="G39" i="134"/>
  <c r="H39" i="134" s="1"/>
  <c r="M17" i="142"/>
  <c r="N9" i="142"/>
  <c r="M9" i="142"/>
  <c r="N12" i="142"/>
  <c r="M12" i="142"/>
  <c r="D29" i="82"/>
  <c r="N15" i="142"/>
  <c r="G15" i="134"/>
  <c r="M15" i="142"/>
  <c r="L9" i="119"/>
  <c r="M9" i="119"/>
  <c r="L12" i="119"/>
  <c r="L16" i="119"/>
  <c r="L17" i="119"/>
  <c r="M17" i="119"/>
  <c r="L10" i="119"/>
  <c r="L11" i="119"/>
  <c r="L15" i="119"/>
  <c r="D25" i="82"/>
  <c r="C25" i="82"/>
  <c r="B25" i="82"/>
  <c r="D26" i="81"/>
  <c r="C26" i="81"/>
  <c r="D21" i="82"/>
  <c r="C21" i="82"/>
  <c r="N23" i="138"/>
  <c r="D22" i="81"/>
  <c r="C22" i="81"/>
  <c r="D30" i="82"/>
  <c r="C30" i="82"/>
  <c r="B30" i="82"/>
  <c r="M20" i="133"/>
  <c r="N20" i="133"/>
  <c r="M14" i="133"/>
  <c r="N14" i="133"/>
  <c r="D16" i="82"/>
  <c r="C16" i="82"/>
  <c r="D17" i="81"/>
  <c r="C17" i="81"/>
  <c r="H45" i="134"/>
  <c r="M12" i="126"/>
  <c r="M11" i="120"/>
  <c r="N11" i="120"/>
  <c r="M10" i="120"/>
  <c r="N10" i="120"/>
  <c r="D9" i="82"/>
  <c r="C9" i="82"/>
  <c r="N9" i="120"/>
  <c r="M9" i="120"/>
  <c r="B9" i="82"/>
  <c r="D10" i="81"/>
  <c r="C10" i="81"/>
  <c r="M20" i="114"/>
  <c r="G36" i="134"/>
  <c r="H36" i="134" s="1"/>
  <c r="K23" i="114"/>
  <c r="J23" i="114"/>
  <c r="G12" i="134"/>
  <c r="H12" i="134" s="1"/>
  <c r="M9" i="114"/>
  <c r="L21" i="113"/>
  <c r="N10" i="113"/>
  <c r="M10" i="113"/>
  <c r="B10" i="82"/>
  <c r="Q11" i="81"/>
  <c r="I24" i="16"/>
  <c r="H24" i="16"/>
  <c r="F37" i="80"/>
  <c r="G37" i="80"/>
  <c r="I9" i="80"/>
  <c r="D28" i="82"/>
  <c r="B28" i="82"/>
  <c r="C28" i="82"/>
  <c r="N25" i="131"/>
  <c r="M25" i="131"/>
  <c r="N121" i="131"/>
  <c r="M121" i="131"/>
  <c r="N21" i="131"/>
  <c r="M21" i="131"/>
  <c r="N27" i="131"/>
  <c r="M27" i="131"/>
  <c r="N24" i="131"/>
  <c r="M24" i="131"/>
  <c r="N30" i="131"/>
  <c r="M30" i="131"/>
  <c r="N118" i="131"/>
  <c r="M18" i="110"/>
  <c r="B17" i="82"/>
  <c r="N20" i="114"/>
  <c r="L16" i="114"/>
  <c r="N16" i="114" s="1"/>
  <c r="N35" i="127"/>
  <c r="N26" i="127"/>
  <c r="N49" i="127"/>
  <c r="M77" i="127"/>
  <c r="N77" i="127"/>
  <c r="M9" i="127"/>
  <c r="N9" i="127"/>
  <c r="N74" i="127"/>
  <c r="L24" i="127"/>
  <c r="M30" i="127"/>
  <c r="N59" i="130"/>
  <c r="M79" i="130"/>
  <c r="N99" i="130"/>
  <c r="M99" i="130"/>
  <c r="N82" i="131"/>
  <c r="M77" i="131"/>
  <c r="M67" i="131"/>
  <c r="M69" i="131"/>
  <c r="N62" i="131"/>
  <c r="N58" i="131"/>
  <c r="M51" i="131"/>
  <c r="N53" i="131"/>
  <c r="M43" i="131"/>
  <c r="N38" i="131"/>
  <c r="M34" i="131"/>
  <c r="M11" i="131"/>
  <c r="L10" i="115"/>
  <c r="M9" i="125"/>
  <c r="N14" i="110"/>
  <c r="N21" i="114"/>
  <c r="M32" i="127"/>
  <c r="L93" i="130"/>
  <c r="M93" i="130" s="1"/>
  <c r="N83" i="130"/>
  <c r="N45" i="130"/>
  <c r="M63" i="130"/>
  <c r="N47" i="130"/>
  <c r="N17" i="130"/>
  <c r="M9" i="112"/>
  <c r="D40" i="134"/>
  <c r="N15" i="113"/>
  <c r="N21" i="126"/>
  <c r="N12" i="130"/>
  <c r="N20" i="130"/>
  <c r="N40" i="130"/>
  <c r="L11" i="114"/>
  <c r="M12" i="133"/>
  <c r="M24" i="125"/>
  <c r="L9" i="115"/>
  <c r="M41" i="131"/>
  <c r="N48" i="131"/>
  <c r="M59" i="131"/>
  <c r="M10" i="121"/>
  <c r="M22" i="81"/>
  <c r="L72" i="127"/>
  <c r="N72" i="127" s="1"/>
  <c r="M31" i="81"/>
  <c r="B16" i="134"/>
  <c r="N17" i="113"/>
  <c r="M24" i="113"/>
  <c r="N9" i="112"/>
  <c r="N14" i="130"/>
  <c r="N42" i="130"/>
  <c r="L69" i="130"/>
  <c r="N69" i="130" s="1"/>
  <c r="L76" i="130"/>
  <c r="M16" i="81"/>
  <c r="M22" i="114"/>
  <c r="N10" i="133"/>
  <c r="M17" i="125"/>
  <c r="K37" i="125"/>
  <c r="N16" i="138"/>
  <c r="M21" i="138"/>
  <c r="N84" i="131"/>
  <c r="K26" i="16"/>
  <c r="B52" i="134"/>
  <c r="M18" i="113"/>
  <c r="N10" i="112"/>
  <c r="N9" i="126"/>
  <c r="M11" i="130"/>
  <c r="M15" i="130"/>
  <c r="M19" i="130"/>
  <c r="M39" i="130"/>
  <c r="M43" i="130"/>
  <c r="M34" i="127"/>
  <c r="N9" i="114"/>
  <c r="N15" i="114"/>
  <c r="M11" i="133"/>
  <c r="M23" i="118"/>
  <c r="L18" i="125"/>
  <c r="M17" i="138"/>
  <c r="N80" i="131"/>
  <c r="M81" i="131"/>
  <c r="K12" i="121"/>
  <c r="M11" i="117"/>
  <c r="M14" i="113"/>
  <c r="L17" i="127"/>
  <c r="N46" i="127"/>
  <c r="N76" i="127"/>
  <c r="N11" i="118"/>
  <c r="N12" i="138"/>
  <c r="N35" i="131"/>
  <c r="M39" i="131"/>
  <c r="M66" i="131"/>
  <c r="M79" i="131"/>
  <c r="M94" i="131"/>
  <c r="M9" i="121"/>
  <c r="N78" i="130"/>
  <c r="N20" i="126"/>
  <c r="M20" i="126"/>
  <c r="N38" i="127"/>
  <c r="M38" i="127"/>
  <c r="M10" i="130"/>
  <c r="N10" i="130"/>
  <c r="N18" i="130"/>
  <c r="M18" i="130"/>
  <c r="N38" i="130"/>
  <c r="M38" i="130"/>
  <c r="N18" i="127"/>
  <c r="N13" i="113"/>
  <c r="M13" i="113"/>
  <c r="M22" i="130"/>
  <c r="N22" i="130"/>
  <c r="L14" i="126"/>
  <c r="G33" i="134" s="1"/>
  <c r="N22" i="126"/>
  <c r="M22" i="126"/>
  <c r="I28" i="2"/>
  <c r="M23" i="113"/>
  <c r="N23" i="113"/>
  <c r="N16" i="131"/>
  <c r="M16" i="131"/>
  <c r="N33" i="131"/>
  <c r="M33" i="131"/>
  <c r="N72" i="131"/>
  <c r="M72" i="131"/>
  <c r="N76" i="131"/>
  <c r="M76" i="131"/>
  <c r="N14" i="138"/>
  <c r="M14" i="138"/>
  <c r="L29" i="127"/>
  <c r="M16" i="113"/>
  <c r="M11" i="112"/>
  <c r="M13" i="130"/>
  <c r="M21" i="130"/>
  <c r="M41" i="130"/>
  <c r="M68" i="130"/>
  <c r="M82" i="130"/>
  <c r="M25" i="127"/>
  <c r="N33" i="127"/>
  <c r="M33" i="127"/>
  <c r="N9" i="133"/>
  <c r="M9" i="133"/>
  <c r="N10" i="138"/>
  <c r="M10" i="138"/>
  <c r="N36" i="131"/>
  <c r="M36" i="131"/>
  <c r="N56" i="131"/>
  <c r="M56" i="131"/>
  <c r="K9" i="16"/>
  <c r="K25" i="16"/>
  <c r="K37" i="16"/>
  <c r="N11" i="112"/>
  <c r="M16" i="130"/>
  <c r="M44" i="130"/>
  <c r="M46" i="130"/>
  <c r="M75" i="130"/>
  <c r="M23" i="127"/>
  <c r="N41" i="127"/>
  <c r="L13" i="110"/>
  <c r="L30" i="110" s="1"/>
  <c r="N11" i="138"/>
  <c r="M11" i="138"/>
  <c r="L9" i="113"/>
  <c r="N47" i="127"/>
  <c r="M47" i="127"/>
  <c r="Q20" i="81"/>
  <c r="N31" i="109"/>
  <c r="M31" i="109"/>
  <c r="L19" i="117"/>
  <c r="C35" i="47"/>
  <c r="F46" i="47"/>
  <c r="L48" i="130"/>
  <c r="G46" i="134" s="1"/>
  <c r="N15" i="110"/>
  <c r="M15" i="110"/>
  <c r="N19" i="109"/>
  <c r="M19" i="109"/>
  <c r="M36" i="125"/>
  <c r="L36" i="125"/>
  <c r="N17" i="110"/>
  <c r="M17" i="110"/>
  <c r="M10" i="115"/>
  <c r="N14" i="131"/>
  <c r="M14" i="131"/>
  <c r="N31" i="131"/>
  <c r="M31" i="131"/>
  <c r="N46" i="131"/>
  <c r="M46" i="131"/>
  <c r="N12" i="114"/>
  <c r="M14" i="110"/>
  <c r="N9" i="109"/>
  <c r="N22" i="138"/>
  <c r="N10" i="131"/>
  <c r="N22" i="131"/>
  <c r="N50" i="131"/>
  <c r="N64" i="131"/>
  <c r="L9" i="121"/>
  <c r="M9" i="115"/>
  <c r="K18" i="119"/>
  <c r="M25" i="81"/>
  <c r="M74" i="131"/>
  <c r="D16" i="134"/>
  <c r="G46" i="47"/>
  <c r="E46" i="47"/>
  <c r="H35" i="47"/>
  <c r="G13" i="12"/>
  <c r="G25" i="12"/>
  <c r="H25" i="12" s="1"/>
  <c r="L78" i="127" l="1"/>
  <c r="M24" i="127"/>
  <c r="F21" i="4"/>
  <c r="L110" i="130"/>
  <c r="M21" i="113"/>
  <c r="L25" i="113"/>
  <c r="P33" i="81"/>
  <c r="M122" i="131"/>
  <c r="B25" i="81"/>
  <c r="C10" i="4"/>
  <c r="L36" i="142"/>
  <c r="C30" i="4"/>
  <c r="C15" i="4"/>
  <c r="F13" i="4"/>
  <c r="N85" i="131"/>
  <c r="C29" i="82"/>
  <c r="E29" i="82" s="1"/>
  <c r="E13" i="4"/>
  <c r="H50" i="47"/>
  <c r="F16" i="12"/>
  <c r="E16" i="12"/>
  <c r="N84" i="130"/>
  <c r="M36" i="127"/>
  <c r="E14" i="4"/>
  <c r="F14" i="4"/>
  <c r="D14" i="4"/>
  <c r="E28" i="81"/>
  <c r="L22" i="117"/>
  <c r="M19" i="117"/>
  <c r="N19" i="117"/>
  <c r="N98" i="131"/>
  <c r="H22" i="4"/>
  <c r="H46" i="47"/>
  <c r="F10" i="4"/>
  <c r="G31" i="4"/>
  <c r="E32" i="81"/>
  <c r="B21" i="82"/>
  <c r="E21" i="82" s="1"/>
  <c r="F12" i="4"/>
  <c r="E26" i="81"/>
  <c r="B19" i="82"/>
  <c r="E19" i="82" s="1"/>
  <c r="E20" i="81"/>
  <c r="C20" i="81"/>
  <c r="E19" i="4"/>
  <c r="E10" i="81"/>
  <c r="F15" i="4"/>
  <c r="C16" i="81"/>
  <c r="E15" i="4"/>
  <c r="E24" i="4"/>
  <c r="F24" i="4"/>
  <c r="D24" i="4"/>
  <c r="E21" i="81"/>
  <c r="D16" i="12"/>
  <c r="E19" i="81"/>
  <c r="C14" i="81"/>
  <c r="G57" i="134"/>
  <c r="M14" i="126"/>
  <c r="N14" i="126"/>
  <c r="L12" i="121"/>
  <c r="O33" i="81"/>
  <c r="M58" i="130"/>
  <c r="L10" i="126"/>
  <c r="E11" i="82"/>
  <c r="N76" i="130"/>
  <c r="M76" i="130"/>
  <c r="H37" i="134"/>
  <c r="G61" i="134"/>
  <c r="H61" i="134" s="1"/>
  <c r="G63" i="134"/>
  <c r="H63" i="134" s="1"/>
  <c r="H9" i="134"/>
  <c r="H14" i="134"/>
  <c r="G62" i="134"/>
  <c r="H11" i="134"/>
  <c r="B15" i="82"/>
  <c r="E9" i="82"/>
  <c r="N49" i="131"/>
  <c r="D64" i="134"/>
  <c r="Q25" i="81"/>
  <c r="N44" i="131"/>
  <c r="L23" i="130"/>
  <c r="E26" i="82"/>
  <c r="D15" i="82"/>
  <c r="N21" i="113"/>
  <c r="C16" i="12"/>
  <c r="E52" i="134"/>
  <c r="M12" i="137"/>
  <c r="E29" i="81"/>
  <c r="G17" i="4"/>
  <c r="E18" i="81"/>
  <c r="E12" i="81"/>
  <c r="G11" i="4"/>
  <c r="N45" i="127"/>
  <c r="N24" i="127"/>
  <c r="D15" i="81"/>
  <c r="C15" i="81"/>
  <c r="G19" i="4"/>
  <c r="E20" i="82"/>
  <c r="G20" i="4"/>
  <c r="E64" i="134"/>
  <c r="B13" i="82"/>
  <c r="C13" i="82"/>
  <c r="D13" i="82"/>
  <c r="G34" i="134"/>
  <c r="H34" i="134" s="1"/>
  <c r="F52" i="134"/>
  <c r="D14" i="81"/>
  <c r="D18" i="81"/>
  <c r="C18" i="81"/>
  <c r="E30" i="82"/>
  <c r="G27" i="4"/>
  <c r="E28" i="82"/>
  <c r="C52" i="134"/>
  <c r="M54" i="131"/>
  <c r="M80" i="131"/>
  <c r="M70" i="131"/>
  <c r="N39" i="131"/>
  <c r="M29" i="131"/>
  <c r="H50" i="134"/>
  <c r="D24" i="82"/>
  <c r="C24" i="82"/>
  <c r="B24" i="82"/>
  <c r="D25" i="81"/>
  <c r="C25" i="81"/>
  <c r="E18" i="82"/>
  <c r="G18" i="4"/>
  <c r="E27" i="82"/>
  <c r="G28" i="4"/>
  <c r="L12" i="137"/>
  <c r="H15" i="134"/>
  <c r="N13" i="142"/>
  <c r="M13" i="142"/>
  <c r="E25" i="82"/>
  <c r="G25" i="4"/>
  <c r="B16" i="82"/>
  <c r="E16" i="82" s="1"/>
  <c r="D12" i="82"/>
  <c r="C12" i="82"/>
  <c r="B12" i="82"/>
  <c r="D13" i="81"/>
  <c r="C13" i="81"/>
  <c r="G9" i="4"/>
  <c r="M16" i="114"/>
  <c r="L23" i="114"/>
  <c r="C15" i="82"/>
  <c r="D16" i="81"/>
  <c r="M11" i="114"/>
  <c r="N11" i="114"/>
  <c r="C10" i="82"/>
  <c r="D10" i="82"/>
  <c r="C11" i="81"/>
  <c r="D11" i="81"/>
  <c r="N17" i="131"/>
  <c r="M17" i="131"/>
  <c r="N23" i="131"/>
  <c r="M23" i="131"/>
  <c r="C17" i="82"/>
  <c r="D17" i="82"/>
  <c r="D14" i="82"/>
  <c r="B14" i="82"/>
  <c r="C14" i="82"/>
  <c r="N17" i="127"/>
  <c r="M17" i="127"/>
  <c r="M72" i="127"/>
  <c r="N93" i="130"/>
  <c r="M12" i="121"/>
  <c r="M117" i="131"/>
  <c r="N117" i="131"/>
  <c r="M60" i="131"/>
  <c r="N34" i="131"/>
  <c r="M59" i="130"/>
  <c r="M69" i="130"/>
  <c r="N12" i="112"/>
  <c r="M12" i="112"/>
  <c r="K24" i="16"/>
  <c r="L37" i="125"/>
  <c r="M37" i="125"/>
  <c r="M14" i="81"/>
  <c r="N75" i="131"/>
  <c r="M75" i="131"/>
  <c r="H46" i="134"/>
  <c r="N9" i="131"/>
  <c r="M9" i="131"/>
  <c r="N21" i="120"/>
  <c r="M21" i="120"/>
  <c r="B64" i="134"/>
  <c r="N65" i="131"/>
  <c r="M65" i="131"/>
  <c r="N13" i="110"/>
  <c r="M13" i="110"/>
  <c r="M18" i="119"/>
  <c r="L18" i="119"/>
  <c r="N24" i="118"/>
  <c r="M24" i="118"/>
  <c r="M9" i="130"/>
  <c r="N9" i="130"/>
  <c r="M9" i="138"/>
  <c r="L25" i="138"/>
  <c r="N9" i="138"/>
  <c r="N29" i="127"/>
  <c r="M29" i="127"/>
  <c r="M35" i="109"/>
  <c r="N35" i="109"/>
  <c r="M85" i="130"/>
  <c r="N85" i="130"/>
  <c r="Q14" i="81"/>
  <c r="N48" i="130"/>
  <c r="M48" i="130"/>
  <c r="M64" i="130"/>
  <c r="N64" i="130"/>
  <c r="N9" i="113"/>
  <c r="M9" i="113"/>
  <c r="M13" i="81"/>
  <c r="G22" i="12"/>
  <c r="H22" i="12" s="1"/>
  <c r="H13" i="12"/>
  <c r="E31" i="81" l="1"/>
  <c r="M36" i="142"/>
  <c r="N36" i="142"/>
  <c r="N21" i="133"/>
  <c r="G16" i="4"/>
  <c r="M21" i="133"/>
  <c r="L23" i="126"/>
  <c r="E11" i="81"/>
  <c r="G29" i="4"/>
  <c r="E17" i="81"/>
  <c r="N22" i="117"/>
  <c r="M22" i="117"/>
  <c r="E30" i="81"/>
  <c r="H31" i="4"/>
  <c r="E22" i="81"/>
  <c r="H25" i="4"/>
  <c r="E25" i="81"/>
  <c r="G13" i="4"/>
  <c r="E14" i="81"/>
  <c r="H62" i="134"/>
  <c r="F64" i="134"/>
  <c r="E15" i="82"/>
  <c r="M23" i="130"/>
  <c r="N23" i="130"/>
  <c r="E16" i="81"/>
  <c r="H19" i="4"/>
  <c r="B33" i="81"/>
  <c r="H20" i="4"/>
  <c r="E13" i="82"/>
  <c r="E10" i="82"/>
  <c r="H11" i="4"/>
  <c r="H27" i="4"/>
  <c r="D31" i="82"/>
  <c r="E32" i="4"/>
  <c r="E24" i="82"/>
  <c r="G24" i="4"/>
  <c r="H18" i="4"/>
  <c r="H28" i="4"/>
  <c r="G30" i="4"/>
  <c r="G21" i="4"/>
  <c r="B31" i="82"/>
  <c r="C33" i="81"/>
  <c r="E12" i="82"/>
  <c r="F32" i="4"/>
  <c r="C31" i="82"/>
  <c r="M23" i="114"/>
  <c r="N23" i="114"/>
  <c r="G15" i="4"/>
  <c r="D33" i="81"/>
  <c r="G10" i="4"/>
  <c r="D32" i="4"/>
  <c r="E17" i="82"/>
  <c r="E14" i="82"/>
  <c r="M59" i="127"/>
  <c r="N59" i="127"/>
  <c r="M33" i="81"/>
  <c r="G30" i="12"/>
  <c r="H30" i="12" s="1"/>
  <c r="N25" i="113"/>
  <c r="M25" i="113"/>
  <c r="N25" i="138"/>
  <c r="M25" i="138"/>
  <c r="M10" i="126"/>
  <c r="N10" i="126"/>
  <c r="N30" i="110"/>
  <c r="M30" i="110"/>
  <c r="H17" i="4"/>
  <c r="H9" i="4"/>
  <c r="N110" i="130"/>
  <c r="M110" i="130"/>
  <c r="H33" i="134"/>
  <c r="G40" i="134"/>
  <c r="H40" i="134" s="1"/>
  <c r="N123" i="131"/>
  <c r="M123" i="131"/>
  <c r="E13" i="81" l="1"/>
  <c r="H16" i="4"/>
  <c r="H29" i="4"/>
  <c r="H13" i="4"/>
  <c r="H24" i="4"/>
  <c r="G58" i="134"/>
  <c r="H58" i="134" s="1"/>
  <c r="H10" i="134"/>
  <c r="G16" i="134"/>
  <c r="H16" i="134" s="1"/>
  <c r="H15" i="4"/>
  <c r="H10" i="4"/>
  <c r="E35" i="4"/>
  <c r="E31" i="82"/>
  <c r="H30" i="4"/>
  <c r="H21" i="4"/>
  <c r="G12" i="4"/>
  <c r="F35" i="4"/>
  <c r="D35" i="4"/>
  <c r="H57" i="134"/>
  <c r="N23" i="126"/>
  <c r="M23" i="126"/>
  <c r="E49" i="47" l="1"/>
  <c r="F49" i="47"/>
  <c r="D49" i="47"/>
  <c r="H12" i="4"/>
  <c r="E76" i="47" l="1"/>
  <c r="D76" i="47"/>
  <c r="F76" i="47"/>
  <c r="G60" i="134"/>
  <c r="G59" i="134"/>
  <c r="Q33" i="81"/>
  <c r="E84" i="47" l="1"/>
  <c r="F84" i="47"/>
  <c r="F15" i="12"/>
  <c r="F17" i="12" s="1"/>
  <c r="F19" i="12" s="1"/>
  <c r="F32" i="12" s="1"/>
  <c r="E15" i="12"/>
  <c r="E17" i="12" s="1"/>
  <c r="E19" i="12" s="1"/>
  <c r="E32" i="12" s="1"/>
  <c r="D84" i="47"/>
  <c r="D15" i="12"/>
  <c r="D17" i="12" s="1"/>
  <c r="D19" i="12" s="1"/>
  <c r="D32" i="12" s="1"/>
  <c r="H48" i="134"/>
  <c r="H60" i="134"/>
  <c r="H47" i="134"/>
  <c r="G52" i="134"/>
  <c r="H52" i="134" s="1"/>
  <c r="E86" i="47" l="1"/>
  <c r="F86" i="47"/>
  <c r="D86" i="47"/>
  <c r="H59" i="134"/>
  <c r="G64" i="134"/>
  <c r="H64" i="134" s="1"/>
  <c r="C46" i="47"/>
  <c r="C30" i="12"/>
  <c r="M53" i="127"/>
  <c r="N53" i="127" l="1"/>
  <c r="E15" i="81" l="1"/>
  <c r="E33" i="81" s="1"/>
  <c r="M78" i="127"/>
  <c r="G14" i="4"/>
  <c r="N78" i="127"/>
  <c r="H14" i="4" l="1"/>
  <c r="G32" i="4"/>
  <c r="G49" i="47" l="1"/>
  <c r="H49" i="47" s="1"/>
  <c r="H32" i="4"/>
  <c r="G76" i="47" l="1"/>
  <c r="H37" i="80"/>
  <c r="I30" i="80"/>
  <c r="H76" i="47" l="1"/>
  <c r="G16" i="12"/>
  <c r="H16" i="12" s="1"/>
  <c r="I37" i="80"/>
  <c r="G84" i="47"/>
  <c r="G15" i="12" l="1"/>
  <c r="G86" i="47"/>
  <c r="H84" i="47"/>
  <c r="G17" i="12" l="1"/>
  <c r="G19" i="12" s="1"/>
  <c r="H15" i="12"/>
  <c r="H17" i="12" l="1"/>
  <c r="H19" i="12"/>
  <c r="G32" i="12"/>
  <c r="C37" i="80"/>
  <c r="D23" i="114"/>
  <c r="B14" i="4"/>
  <c r="B16" i="12" l="1"/>
  <c r="B15" i="4"/>
  <c r="B32" i="4" s="1"/>
  <c r="B35" i="4" s="1"/>
  <c r="B49" i="47" l="1"/>
  <c r="B76" i="47" s="1"/>
  <c r="B15" i="12" s="1"/>
  <c r="B17" i="12" s="1"/>
  <c r="B19" i="12" s="1"/>
  <c r="B32" i="12" s="1"/>
  <c r="B84" i="47" l="1"/>
  <c r="B86" i="47" l="1"/>
  <c r="E78" i="127"/>
  <c r="C14" i="4" l="1"/>
  <c r="C32" i="4" s="1"/>
  <c r="C35" i="4" l="1"/>
  <c r="C49" i="47" l="1"/>
  <c r="C76" i="47" s="1"/>
  <c r="C15" i="12" l="1"/>
  <c r="C17" i="12" s="1"/>
  <c r="C19" i="12" s="1"/>
  <c r="C32" i="12" s="1"/>
  <c r="C84" i="47"/>
  <c r="C86" i="47" s="1"/>
</calcChain>
</file>

<file path=xl/sharedStrings.xml><?xml version="1.0" encoding="utf-8"?>
<sst xmlns="http://schemas.openxmlformats.org/spreadsheetml/2006/main" count="2025" uniqueCount="606">
  <si>
    <t>v tis. Kč</t>
  </si>
  <si>
    <t>Ukazatel</t>
  </si>
  <si>
    <t>Příjmy</t>
  </si>
  <si>
    <t>Podíly na daních (třída 1)</t>
  </si>
  <si>
    <t>Příjmy z úroků na bankovních účtech (třída 2)</t>
  </si>
  <si>
    <t>Příjmy z pronájmu majetku příspěvkových organizací (třída 2)</t>
  </si>
  <si>
    <t>Příjmy z prodeje majetku (třída 3)</t>
  </si>
  <si>
    <t>Finanční dotační vztah státního rozpočtu k rozpočtu kraje na výkon přenesené působnosti (třída 4)</t>
  </si>
  <si>
    <t>Dotace ze státního rozpočtu - školství (třída 4)</t>
  </si>
  <si>
    <t>Příjmy celkem</t>
  </si>
  <si>
    <t>Financování ve zdrojích</t>
  </si>
  <si>
    <t>Zdroje celkem</t>
  </si>
  <si>
    <t>V ý d a j e</t>
  </si>
  <si>
    <t>Běžné výdaje kapitol</t>
  </si>
  <si>
    <t>Výdaje celkem</t>
  </si>
  <si>
    <t>Financování ve výdajích</t>
  </si>
  <si>
    <t>Splátky přijatého úvěru kraje (jistina)</t>
  </si>
  <si>
    <t>Celková bilance hospodaření</t>
  </si>
  <si>
    <t>01</t>
  </si>
  <si>
    <t>Středočeský Fond podpory dobrovolných hasičů a složek IZS</t>
  </si>
  <si>
    <t>06</t>
  </si>
  <si>
    <t xml:space="preserve">Středočeský Fond kultury a obnovy památek </t>
  </si>
  <si>
    <t>10</t>
  </si>
  <si>
    <t xml:space="preserve">Středočeský Fond životního prostředí a zemědělství </t>
  </si>
  <si>
    <t>17</t>
  </si>
  <si>
    <t>Kapitola</t>
  </si>
  <si>
    <t xml:space="preserve">01 - Činnost zastupitelstva </t>
  </si>
  <si>
    <t>02 - Činnost krajského úřadu</t>
  </si>
  <si>
    <t>03 - Informatika</t>
  </si>
  <si>
    <t>04 - Doprava</t>
  </si>
  <si>
    <t>06 - Kultura a památková péče</t>
  </si>
  <si>
    <t>07 - Zdravotnictví</t>
  </si>
  <si>
    <t>08 - Regionální rozvoj</t>
  </si>
  <si>
    <t>09 - Evropská integrace</t>
  </si>
  <si>
    <t>10 - Životní prostředí a zemědělství</t>
  </si>
  <si>
    <t>11 - Správa majetku</t>
  </si>
  <si>
    <t>13 - Krajský investor</t>
  </si>
  <si>
    <t>17 - Sociální věci</t>
  </si>
  <si>
    <t>23 - Ostatní</t>
  </si>
  <si>
    <t xml:space="preserve">Přehled běžných výdajů jednotlivých kapitol </t>
  </si>
  <si>
    <t xml:space="preserve">Sumář příjmů a výdajů </t>
  </si>
  <si>
    <t>Financování celkem</t>
  </si>
  <si>
    <t>Saldo (příjmy - výdaje)</t>
  </si>
  <si>
    <t xml:space="preserve">Výdaje celkem </t>
  </si>
  <si>
    <t>Třída 3 - Kapitálové příjmy</t>
  </si>
  <si>
    <t>Třída 2 - Nedaňové příjmy</t>
  </si>
  <si>
    <t>Třída 1 - Daňové příjmy</t>
  </si>
  <si>
    <t xml:space="preserve">Celková bilance hospodaření </t>
  </si>
  <si>
    <t xml:space="preserve">Splátky úroků z přijatého úvěru kraje </t>
  </si>
  <si>
    <t xml:space="preserve">Dluhová služba za úvěr nemocnic celkem </t>
  </si>
  <si>
    <t>Dluhová služba za úvěr nemocnic z roku 2008</t>
  </si>
  <si>
    <t>Středočeské Fondy - grantové a dotační výdaje kapitol</t>
  </si>
  <si>
    <t>Havarijní fond pro ochranu jakosti vod SK (kapitola 10)</t>
  </si>
  <si>
    <t>Dotace ze státního rozpočtu - školství (kapitola 05)</t>
  </si>
  <si>
    <t>14 - Řízení lidských zdrojů</t>
  </si>
  <si>
    <t>16 - Správní agendy</t>
  </si>
  <si>
    <t>Správní poplatky (třída 1)</t>
  </si>
  <si>
    <t>Dluhová služba za úvěr kraje celkem</t>
  </si>
  <si>
    <t>Středočeské Fondy celkem</t>
  </si>
  <si>
    <t>Běžné výdaje kapitol celkem</t>
  </si>
  <si>
    <t>-</t>
  </si>
  <si>
    <t>Dotace ze státního rozpočtu - ostatní oblasti rozpočtu (třída 4)</t>
  </si>
  <si>
    <t>Příjmy z převodu z účtů a z fondů (třída 4)</t>
  </si>
  <si>
    <t>Ostatní nedaňové příjmy (třída 2)</t>
  </si>
  <si>
    <t xml:space="preserve">Dotace ze státního rozpočtu - ostatní oblasti rozpočtu </t>
  </si>
  <si>
    <t>Finanční vypořádání minulých let se státním rozpočtem (kapitola 21)</t>
  </si>
  <si>
    <t>20 - Sociální fond</t>
  </si>
  <si>
    <t>Zapojení zůstatku hospodaření z minulých let *)</t>
  </si>
  <si>
    <t>Opravné položky</t>
  </si>
  <si>
    <t>07</t>
  </si>
  <si>
    <t>Středočeské Fondy v rámci jednotlivých kapitol</t>
  </si>
  <si>
    <t>Celkem běžné výdaje kapitol po konsolidaci</t>
  </si>
  <si>
    <t>Dotace ze státního rozpočtu a ostatních veřejných rozpočtů</t>
  </si>
  <si>
    <t>Dluhová služba za úvěr nemocnic</t>
  </si>
  <si>
    <t>Výdaje na reprodukci majetku příspěvkových organizací (financované z vybraných příjmů z pronájmu)</t>
  </si>
  <si>
    <t>Kapitálové výdaje</t>
  </si>
  <si>
    <t>Třída 5 - Běžné výdaje</t>
  </si>
  <si>
    <t>Třída 6 - Kapitálové výdaje</t>
  </si>
  <si>
    <t>Kapitálové výdaje celkem</t>
  </si>
  <si>
    <t>Středočeský Humanitární fond</t>
  </si>
  <si>
    <t>Středočeský Fond obnovy venkova</t>
  </si>
  <si>
    <t>15 - Územní a stavební řízení</t>
  </si>
  <si>
    <t>18 - Legislativně právní</t>
  </si>
  <si>
    <t>24 - Podpora příspěvkových organizací</t>
  </si>
  <si>
    <t>25 - Bezpečnost a prevence</t>
  </si>
  <si>
    <t>Celkem</t>
  </si>
  <si>
    <t>Běžné výdaje celkem</t>
  </si>
  <si>
    <t>z toho: výdaje na opravy a údržbu majetku</t>
  </si>
  <si>
    <t>Paragraf</t>
  </si>
  <si>
    <t>Poplatky za znečišťování ovzduší (třída 1)</t>
  </si>
  <si>
    <t>Název</t>
  </si>
  <si>
    <t>09</t>
  </si>
  <si>
    <t>Třída 4 - Přijaté transfery</t>
  </si>
  <si>
    <t>Zesmluvněné dotace na vodohospodářskou infrastrukturu vyplácené prostřednictvím Středočeského Fondu životního prostředí a zemědělství - financované z vybraných poplatků za odebrané množství podzemní vody</t>
  </si>
  <si>
    <t xml:space="preserve">Zůstatek hospodaření z minulého roku </t>
  </si>
  <si>
    <t>05 - Školství</t>
  </si>
  <si>
    <t>z toho:</t>
  </si>
  <si>
    <t xml:space="preserve">01 - Činnost Zastupitelstva </t>
  </si>
  <si>
    <t>02 - Činnost Krajského úřadu</t>
  </si>
  <si>
    <t>Výdaje na havárie</t>
  </si>
  <si>
    <t>Předfinancování a kofinancování projektů spolufinancovaných z národních zdrojů a ostatní související výdaje s projekty z národních zdrojů</t>
  </si>
  <si>
    <t>Středočeský Fond podpory včasné přípravy projektů EU 2021+ a NIP</t>
  </si>
  <si>
    <t>Kapitola 23 - Ostatní</t>
  </si>
  <si>
    <t>Oblast rozpočtu</t>
  </si>
  <si>
    <t xml:space="preserve">Běžné výdaje </t>
  </si>
  <si>
    <t>Činnost regionální správy</t>
  </si>
  <si>
    <t>Obecné příjmy a výdaje z finančních operací</t>
  </si>
  <si>
    <t>Ostatní finanční operace</t>
  </si>
  <si>
    <t>Schválený rozpočet</t>
  </si>
  <si>
    <t xml:space="preserve">Schválený rozpočet </t>
  </si>
  <si>
    <t>Školení příspěvkových organizací</t>
  </si>
  <si>
    <t>Silnice</t>
  </si>
  <si>
    <t>Ostatní záležitosti pozemních komunikací</t>
  </si>
  <si>
    <t>Ostatní záležitosti v dopravě</t>
  </si>
  <si>
    <t>Pitná voda</t>
  </si>
  <si>
    <t>Gymnázia</t>
  </si>
  <si>
    <t>Střední odborné školy</t>
  </si>
  <si>
    <t>Dětské domovy</t>
  </si>
  <si>
    <t>Zdravotnická záchranná služba</t>
  </si>
  <si>
    <t>Územní rozvoj</t>
  </si>
  <si>
    <t>Chráněné části přírody</t>
  </si>
  <si>
    <t>Domovy pro seniory</t>
  </si>
  <si>
    <t>Denní stacionáře a centra denních služeb</t>
  </si>
  <si>
    <t>Zastupitelstva krajů</t>
  </si>
  <si>
    <t>Obligatorní výdaje</t>
  </si>
  <si>
    <t>Semifakultativní výdaje</t>
  </si>
  <si>
    <t>Skutečnost            k 31. 12.</t>
  </si>
  <si>
    <t>Kapitola 05 - Školství</t>
  </si>
  <si>
    <t>Mateřské školy pro děti se speciálními vzdělávacími potřebami</t>
  </si>
  <si>
    <t>Základní školy pro žáky se speciálními vzdělávacími potřebami</t>
  </si>
  <si>
    <t>Střední školy poskytující střední vzdělání s výučním listem</t>
  </si>
  <si>
    <t>Zařízení výchovného poradenství</t>
  </si>
  <si>
    <t>Základní umělecké školy</t>
  </si>
  <si>
    <t>Ostatní správa ve vzdělávání jinde nezařazená</t>
  </si>
  <si>
    <t>3294</t>
  </si>
  <si>
    <t>Zařízení pro další vzdělávání  pedagogických pracovníků</t>
  </si>
  <si>
    <t>Využití volného času dětí a mládeže</t>
  </si>
  <si>
    <t>příspěvek na provoz</t>
  </si>
  <si>
    <t>příspěvek na běžné opravy a udržování</t>
  </si>
  <si>
    <t>Provoz škol - nájemné</t>
  </si>
  <si>
    <t>3269</t>
  </si>
  <si>
    <t>Velké opravy a havárie</t>
  </si>
  <si>
    <t>Sportovní centra mládeže</t>
  </si>
  <si>
    <t>Podpora zahraničních aktivit škol</t>
  </si>
  <si>
    <t>Prevence patologických jevů</t>
  </si>
  <si>
    <t>Ochrana obyvatelstva</t>
  </si>
  <si>
    <t>Krizová opatření</t>
  </si>
  <si>
    <t>Záležitosti krizového řízení jinde nezařazené</t>
  </si>
  <si>
    <t>výdaje na opravy a údržbu majetku</t>
  </si>
  <si>
    <t>Kapitola 11 - Správa majetku</t>
  </si>
  <si>
    <t>Bytové hospodářství</t>
  </si>
  <si>
    <t>výdaje na běžné opravy a udržování</t>
  </si>
  <si>
    <t>Nebytové hospodářství</t>
  </si>
  <si>
    <t>Kapitola 10 - Životní prostředí a zemědělství</t>
  </si>
  <si>
    <t>Ostatní zemědělská a potravinářská činnost a rozvoj</t>
  </si>
  <si>
    <t>Monitoring ochrany ovzduší</t>
  </si>
  <si>
    <t>Prevence vzniku odpadů</t>
  </si>
  <si>
    <t>Ostatní nakládání s odpady</t>
  </si>
  <si>
    <t>Ochrana druhů a stanovišť</t>
  </si>
  <si>
    <t>Ostatní správa v ochraně životního prostředí</t>
  </si>
  <si>
    <t>Ekologická výchova a osvěta</t>
  </si>
  <si>
    <t>Ostatní ekologické záležitosti</t>
  </si>
  <si>
    <t>Kapitola 03 - Informatika</t>
  </si>
  <si>
    <t>Kapitola 17 - Sociální věci</t>
  </si>
  <si>
    <t>Odborné sociální poradenství - příspěvek příspěvkovým organizacím</t>
  </si>
  <si>
    <t>Ostatní sociální péče a pomoc rodině a manželství</t>
  </si>
  <si>
    <t>Sociální rehabilitace - příspěvek příspěvkovým organizacím</t>
  </si>
  <si>
    <t>Domovy pro seniory - příspěvek příspěvkovým organizacím</t>
  </si>
  <si>
    <t>Osobní asistence, pečovatelská služba a podpora samostatného bydlení - příspěvek příspěvkovým organizacím</t>
  </si>
  <si>
    <t>Chráněné bydlení - příspěvek příspěvkovým organizacím</t>
  </si>
  <si>
    <t>Týdenní stacionáře - příspěvek příspěvkovým organizacím</t>
  </si>
  <si>
    <t>Denní stacionáře a centra denních služeb - příspěvek příspěvkovým organizacím</t>
  </si>
  <si>
    <t>Domovy pro osoby se zdravotním postižením a domovy se zvláštním režimem - příspěvek příspěvkovým organizacím</t>
  </si>
  <si>
    <t>Ostatní správa v sociálním zabezpečení a politice zaměstnanosti</t>
  </si>
  <si>
    <t>Služby následné péče, terapeutické komunity a kontaktní centra - příspěvek příspěvkovým organizacím</t>
  </si>
  <si>
    <t>Sociálně terapeutické dílny - příspěvek příspěvkovým organizacím</t>
  </si>
  <si>
    <t>Terénní programy - příspěvek příspěvkovým organizacím</t>
  </si>
  <si>
    <t>Ostatní služby a činnosti v oblasti sociální prevence - příspěvek příspěvkovým organizacím</t>
  </si>
  <si>
    <t>Ostatní záležitosti sociálních věcí a politiky zaměstnanosti</t>
  </si>
  <si>
    <t>Ostatní záležitosti sociálních věcí a politiky zaměstnanosti - POSEZ</t>
  </si>
  <si>
    <t>Havárie a opravy</t>
  </si>
  <si>
    <t xml:space="preserve"> </t>
  </si>
  <si>
    <t>Kapitola 09 - Evropská integrace</t>
  </si>
  <si>
    <t>Vesnice roku</t>
  </si>
  <si>
    <t xml:space="preserve">Kapitola 08 - Regionální rozvoj </t>
  </si>
  <si>
    <t>Příprava a udržitelnost projektů regionálního rozvoje</t>
  </si>
  <si>
    <t>Strategické dokumenty</t>
  </si>
  <si>
    <t>Místní akční skupiny</t>
  </si>
  <si>
    <t>Klub českých turistů</t>
  </si>
  <si>
    <t>Středočeské inovační centrum</t>
  </si>
  <si>
    <t>Kapitola 13 - Krajský investor</t>
  </si>
  <si>
    <t>Bezpečnost silničního provozu</t>
  </si>
  <si>
    <t>Činnost muzeí a galerií</t>
  </si>
  <si>
    <t>Ostatní ústavní péče</t>
  </si>
  <si>
    <t>Domovy pro osoby se zdravotním postižením a domovy se zvláštním režimem</t>
  </si>
  <si>
    <t>Kapitola 25 - Bezpečnost a prevence</t>
  </si>
  <si>
    <t xml:space="preserve">Podpora kvality škol a rozvojové projekty </t>
  </si>
  <si>
    <t>Převody vlastním fondům v rozpočtech územní úrovně</t>
  </si>
  <si>
    <t>Podpora podnikání - příspěvek příspěvkové organizaci Regionální dotační kancelář</t>
  </si>
  <si>
    <t>Kapitola 06 - Kultura a památková péče</t>
  </si>
  <si>
    <t xml:space="preserve">Činnosti knihovnické - příspěvek příspěvkovým organizacím </t>
  </si>
  <si>
    <t xml:space="preserve">Činnosti muzeí a galerií - příspěvek příspěvkovým organizacím </t>
  </si>
  <si>
    <t xml:space="preserve">Činnosti památkových ústavů, hradů a zámků - příspěvek příspěvkovým organizacím </t>
  </si>
  <si>
    <t xml:space="preserve">Vědecko-výzkumné archeologické projekty </t>
  </si>
  <si>
    <t>Středočeská vědecká knihovna v Kladně</t>
  </si>
  <si>
    <t>Městská knihovna Benešov</t>
  </si>
  <si>
    <t>Městská knihovna Kutná Hora</t>
  </si>
  <si>
    <t>Knihovna města Mladá Boleslav</t>
  </si>
  <si>
    <t>Knihovna Jana Drdy Příbram</t>
  </si>
  <si>
    <t>Podpora živé kultury</t>
  </si>
  <si>
    <t>Stavba roku</t>
  </si>
  <si>
    <t>Dny lidové architektury</t>
  </si>
  <si>
    <t>Metodická a koncepční činnost odboru</t>
  </si>
  <si>
    <t>Lékařská služba první pomoci</t>
  </si>
  <si>
    <t>Zdravotnická záchranná služba - příspěvek příspěvkovým organizacím</t>
  </si>
  <si>
    <t>Ostatní činnost ve zdravotnictví - odbor</t>
  </si>
  <si>
    <t>Ostatní činnost ve zdravotnictví - nehrazené činnosti ze zdravotního pojištění</t>
  </si>
  <si>
    <t>Kapitola 07 - Zdravotnictví</t>
  </si>
  <si>
    <t>Kapitola 04 - Doprava</t>
  </si>
  <si>
    <t xml:space="preserve">Silnice - příspěvek příspěvkové organizaci Krajská správa a údržba silnic Středočeského kraje </t>
  </si>
  <si>
    <t>Ostatní záležitosti vnitrozemské plavby - dotace přívozy</t>
  </si>
  <si>
    <t>Středočeský Fond návratných finančních zdrojů</t>
  </si>
  <si>
    <t>501 platy</t>
  </si>
  <si>
    <t xml:space="preserve">Příspěvky zřízeným příspěvkovým organizacím </t>
  </si>
  <si>
    <t>Příspěvek na běžné opravy a udržování zřízeným příspěvkovým organizacím celkem</t>
  </si>
  <si>
    <t xml:space="preserve">Ostatní ústavní péče (dětská centra) - příspěvek příspěvkovým organizacím </t>
  </si>
  <si>
    <t>25</t>
  </si>
  <si>
    <t>Opravné položky k peněžním operacím</t>
  </si>
  <si>
    <t>Požární ochrana - dobrovolná část</t>
  </si>
  <si>
    <t>Ostatní správa v oblasti krizového řízení</t>
  </si>
  <si>
    <t>04</t>
  </si>
  <si>
    <t>Specifické rezervy - vedené na kapitole 23 - Ostatní</t>
  </si>
  <si>
    <t>Středočeský Fond sportu a volného času</t>
  </si>
  <si>
    <t xml:space="preserve">Středočeský Fond sportu a volného času </t>
  </si>
  <si>
    <t>Středočeský Fond prevence</t>
  </si>
  <si>
    <t>Specifické rezervy celkem</t>
  </si>
  <si>
    <t>Kapitola 15 - Územní a stavební řízení</t>
  </si>
  <si>
    <t xml:space="preserve">Kapitola 18 - Legislativně právní </t>
  </si>
  <si>
    <t>Kapitola 01 - Činnost Zastupitelstva</t>
  </si>
  <si>
    <t>Kapitola 02 - Činnost Krajského úřadu</t>
  </si>
  <si>
    <t xml:space="preserve">07 - Zdravotnictví   </t>
  </si>
  <si>
    <t xml:space="preserve">Příspěvek na provoz zřízeným příspěvkovým organizacím celkem </t>
  </si>
  <si>
    <t>590 ostatní neinvestiční výdaje</t>
  </si>
  <si>
    <t>příspěvek na provoz (jízdenkové kotouče, MOS)</t>
  </si>
  <si>
    <t>Konsolidace Sociálního fondu</t>
  </si>
  <si>
    <t>Středočeský Fond kultury a obnovy památek</t>
  </si>
  <si>
    <t>Středočeský Fond životního prostředí a zemědělství</t>
  </si>
  <si>
    <t>TABULKOVÁ ČÁST</t>
  </si>
  <si>
    <t>Střediska praktického vyučování a školní hospodářství</t>
  </si>
  <si>
    <t>Výdaje na havárie (kapitola 23)</t>
  </si>
  <si>
    <t>Výdaje na reprodukci majetku příspěvkových organizací - financované z vybraných příjmů z pronájmu (kapitola 23)</t>
  </si>
  <si>
    <t>Výdaje dle programů (kapitola 23)</t>
  </si>
  <si>
    <t>Specifické rezervy (kapitola 23)</t>
  </si>
  <si>
    <t>Kapitola 24 - Podpora příspěvkových organizací</t>
  </si>
  <si>
    <t>Kapitola 14 - Řízení lidských zdrojů</t>
  </si>
  <si>
    <t xml:space="preserve">Dluhová služba za úvěry Středočeského kraje </t>
  </si>
  <si>
    <t>514 úroky a ostatní finanční výdaje</t>
  </si>
  <si>
    <t>536 ostatní neinvestiční transfery jiným veřejným rozpočtům, platby daní a další povinné platby</t>
  </si>
  <si>
    <t>Ostatní služby a činnosti v oblasti sociální péče - příspěvek příspěvkovým organizacím</t>
  </si>
  <si>
    <t>Azylové domy, nízkoprahová denní centra a noclehárny - příspěvek příspěvkovým organizacím</t>
  </si>
  <si>
    <r>
      <rPr>
        <b/>
        <sz val="11"/>
        <rFont val="Calibri"/>
        <family val="2"/>
        <charset val="238"/>
        <scheme val="minor"/>
      </rPr>
      <t xml:space="preserve">Oblastní nemocnice Kolín, a.s., nemocnice Středočeského kraje </t>
    </r>
    <r>
      <rPr>
        <sz val="11"/>
        <rFont val="Calibri"/>
        <family val="2"/>
        <charset val="238"/>
        <scheme val="minor"/>
      </rPr>
      <t>(výstavba nové budovy - objektu F se 4 lůžkovými stanicemi po 25 lůžkách s ambulantním traktem a vybavením novými zdravotnickými technologiemi v prostorách nemocnice)</t>
    </r>
  </si>
  <si>
    <r>
      <rPr>
        <b/>
        <sz val="11"/>
        <rFont val="Calibri"/>
        <family val="2"/>
        <charset val="238"/>
        <scheme val="minor"/>
      </rPr>
      <t>Oblastní nemocnice Kladno, a.s. nemocnice Středočeského kraje</t>
    </r>
    <r>
      <rPr>
        <sz val="11"/>
        <rFont val="Calibri"/>
        <family val="2"/>
        <charset val="238"/>
        <scheme val="minor"/>
      </rPr>
      <t xml:space="preserve"> (výstavba dvou nových budov - pavilonu akutní medicíny a transfúzní stanice a jejich vybavení nemocničním zařízením v prostorách nemocnice)</t>
    </r>
  </si>
  <si>
    <t>Účinnější péče o tradiční lidovou kulturu</t>
  </si>
  <si>
    <t>Ostatní záležitosti požární ochrany a integrovaného záchranného systému</t>
  </si>
  <si>
    <t>Středočeský Fond podpory včasné přípravy projektů  EU 2021+ a NIP</t>
  </si>
  <si>
    <t>Humanitární zahraniční pomoc přímá</t>
  </si>
  <si>
    <t>Konečná splatnost</t>
  </si>
  <si>
    <t>Limit úvěru</t>
  </si>
  <si>
    <t>Zesmluvněné dotace na vodohospodářskou infrastrukturu vyplácené prostřednictvím Středočeského Fondu životního prostředí a zemědělství - financované z vybraných poplatků za odebrané množství podzemní vody (kapitola 10)</t>
  </si>
  <si>
    <t xml:space="preserve">Prevence před drogami, alkoholem, nikotinem a jinými závislostmi </t>
  </si>
  <si>
    <t>Kapitálové (investiční) výdaje zařazené v Zásobníku investic hrazené z úvěru přijatého od EIB (kapitola 12)</t>
  </si>
  <si>
    <t>Ostatní činnosti jinde nezařazené - Sociální fond</t>
  </si>
  <si>
    <t>Splátky návratných finančních výpomocí OSVČ v souvislostí s pandemií COVID-19 (třída 2)</t>
  </si>
  <si>
    <t>Rozvoj edukačních programů pro příspěvkové organizace</t>
  </si>
  <si>
    <t>Kapitola 26 - Veřejná mobilita</t>
  </si>
  <si>
    <t>Kapitola 27 - Digitalizace</t>
  </si>
  <si>
    <t>26 - Veřejná mobilita</t>
  </si>
  <si>
    <t>27 - Digitalizace</t>
  </si>
  <si>
    <t>Středočeský Fond na podporu výsadby stromů</t>
  </si>
  <si>
    <t>05</t>
  </si>
  <si>
    <t>Středočeský Fond na podporu obecního bydlení</t>
  </si>
  <si>
    <t>Středočeský Fond na podporu participativních rozpočtu obcí a měst</t>
  </si>
  <si>
    <t>26</t>
  </si>
  <si>
    <t>Středočeský Fond cyklistické infrastruktury</t>
  </si>
  <si>
    <t>Mezinárodní spolupráce ve vzdělávání</t>
  </si>
  <si>
    <t>Prevence před drogami, alkoholem, nikotinem a jinými závislostmi</t>
  </si>
  <si>
    <t>Sportovní soutěže</t>
  </si>
  <si>
    <t>Základní školy</t>
  </si>
  <si>
    <t>Ostatní sportovní činnost</t>
  </si>
  <si>
    <t>Olympiáda dětí a mládeže</t>
  </si>
  <si>
    <t>Chráněné bydlení</t>
  </si>
  <si>
    <t>Účelové neinvestiční dotace nestátním neziskovým organizacím</t>
  </si>
  <si>
    <t>Středočeský Fond homogenizace krajské dopravní infrastruktury</t>
  </si>
  <si>
    <t xml:space="preserve">Ostatní záležitosti sociálních věcí a politiky zaměstnanosti </t>
  </si>
  <si>
    <t>Strategie rozvoje kraje</t>
  </si>
  <si>
    <t xml:space="preserve">Dopravní obslužnost veřejnými službami - linková </t>
  </si>
  <si>
    <t>Dopravní obslužnost veřejnými službami - drážní</t>
  </si>
  <si>
    <t>Společně ostatní kapitoly bez stanoveného limitu na přípravu</t>
  </si>
  <si>
    <t>Kapitoly celkem</t>
  </si>
  <si>
    <t>Ostatní záležitosti pozemních komunikací -  Cyklodoprava</t>
  </si>
  <si>
    <t>Středočeský Fond hejtmanky</t>
  </si>
  <si>
    <t>Středočeský Humanitární fond - oblast zdravotnická</t>
  </si>
  <si>
    <t>Kapitálové (investiční) výdaje zařazené v Zásobníku investic hrazené z vlastních zdrojů kraje (kapitola 12 - Investiční výdaje)</t>
  </si>
  <si>
    <t>Kapitálové (investiční) výdaje zařazené v Zásobníku investic hrazené z úvěru přijatého od EIB (kapitola 12 - Investiční výdaje)</t>
  </si>
  <si>
    <t>Změna technologií vytápění - rezerva, odvody a penále</t>
  </si>
  <si>
    <t>prodloužení životnosti kobercových úprav po záruce (nátěry, mikrokoberce apod.)</t>
  </si>
  <si>
    <t>Čerpání bankovního úvěru - Komerční banka, a.s. (z roku 2021)</t>
  </si>
  <si>
    <t>Čerpání bankovního úvěru  - Česká spořitelna a.s. (z roku 2021)</t>
  </si>
  <si>
    <t>Splátky přijatého úvěru - Komerční banka, a.s. (z roku 2020) - jistina</t>
  </si>
  <si>
    <t>Labská stezka</t>
  </si>
  <si>
    <t>Aktualizace Programu cestovního ruchu 2024+</t>
  </si>
  <si>
    <t>Středočeský Fond podpory cestovního ruchu</t>
  </si>
  <si>
    <t>Archeologické výzkumy a nálezy</t>
  </si>
  <si>
    <r>
      <rPr>
        <b/>
        <sz val="11"/>
        <rFont val="Calibri"/>
        <family val="2"/>
        <charset val="238"/>
        <scheme val="minor"/>
      </rPr>
      <t xml:space="preserve">Oblastní nemocnice Příbram, a.s. </t>
    </r>
    <r>
      <rPr>
        <sz val="11"/>
        <rFont val="Calibri"/>
        <family val="2"/>
        <charset val="238"/>
        <scheme val="minor"/>
      </rPr>
      <t>(výstavba dvou nových budov - objektů C s příjmovým oddělením, oddělením akutní medicíny, oddělením sterilizace a operačním traktem a F s ústavní lékárnou, transfúzní stanicí a onkologickým stacionářem a jejich vybavení nemocničním zařízením v prostorách nemocnice)</t>
    </r>
  </si>
  <si>
    <t>Fakultativní výdaje</t>
  </si>
  <si>
    <t xml:space="preserve"> Semifakultativní výdaje</t>
  </si>
  <si>
    <t>Záležitosti vodních toků a vodohospodářských děl jinde nezařazené</t>
  </si>
  <si>
    <t>519 výdaje související s neinvestičními nákupy, příspěvky, náhrady a věcné dary</t>
  </si>
  <si>
    <t>Splátky přijatého úvěru - Komerční banka, a.s. (z roku 2007) - jistina</t>
  </si>
  <si>
    <t>Regionální funkce statutárních divadel na území SK (Městské divadlo Mladá Boleslav, Divadlo A. Dvořáka v Příbrami, Městské divadlo Kladno, Loutkové divadlo Lampion)</t>
  </si>
  <si>
    <t>Kofinancování projektů spolufinancovaných z národních zdrojů a ostatní související výdaje s projekty z národních zdrojů (kapitola 23)</t>
  </si>
  <si>
    <t>Kofinancování projektů spolufinancovaných z EU/EHP a ostatní související výdaje s projekty EU/EHP (kapitola 23) – programové období 2014 - 2020</t>
  </si>
  <si>
    <t>Kofinancování projektů spolufinancovaných z EU/EHP a ostatní související výdaje s projekty EU/EHP (kapitola 23) – programové období 2021 - 2027</t>
  </si>
  <si>
    <t>Bilance předfinancování projektů spolufinancovaných z EU/EHP a národních zdrojů</t>
  </si>
  <si>
    <t>Výdaje:</t>
  </si>
  <si>
    <t>Bilance kofinancování projektů spolufinancovaných z EU/EHP a národních zdrojů</t>
  </si>
  <si>
    <t xml:space="preserve">Kofinancování projektů spolufinancovaných z EU/EHP a ostatní související výdaje s projekty EU/EHP (kapitola 23) - hrazené z úvěru přijatého od EIB </t>
  </si>
  <si>
    <t>Čerpání přijatého úvěru od České spořitelny, a.s. v roce 2021 (předfinancování projektů spolufinancovaných z EU/EHP a národních zdrojů)</t>
  </si>
  <si>
    <t>Čerpání přijatého úvěru od Komerční banky, a.s. v roce 2021 (kofinancování projektů spolufinancovaných z EU/EHP a národních zdrojů)</t>
  </si>
  <si>
    <t>Splátky přijatého úvěru od České spořitelny a.s. v roce 2019 (předfinancování projektů spolufinancovaných z EU/EHP) - jistina</t>
  </si>
  <si>
    <t>Splátky přijatého úvěru od Komerční banky a.s. v roce 2007 (financování investičních akcí)</t>
  </si>
  <si>
    <t>Splátky přijatého úvěru od Komerční banky a.s. v roce 2020 (financování návratných finančních výpomocí - živnostníci)</t>
  </si>
  <si>
    <t>Dopravní obslužnost veřejnými službami - linková</t>
  </si>
  <si>
    <t>Činnosti knihovnické</t>
  </si>
  <si>
    <t>Poplatky za odebrané množství podzemní vody (třída 1)</t>
  </si>
  <si>
    <t>Čerpání přijatého úvěru  - Evropská investiční banka (z roku 2020 a 2021)</t>
  </si>
  <si>
    <t>Splátky úroků z přijatých úvěrů kraje (kapitola 23)</t>
  </si>
  <si>
    <t>Dluhová služba za úvěr nemocnic (kapitola 07)</t>
  </si>
  <si>
    <t>Kulturní politika Středočeského kraje</t>
  </si>
  <si>
    <t>Činnosti muzeí a galerií</t>
  </si>
  <si>
    <t>Inovační projekty v oblasti digitalizace</t>
  </si>
  <si>
    <t>Kapitálové výdaje zařazené v kapitolách</t>
  </si>
  <si>
    <t>Přijaté sankční platby (třída 2)</t>
  </si>
  <si>
    <t>Ostatní záležitosti kultury</t>
  </si>
  <si>
    <t>Kapitálové výdaje v kapitolách celkem</t>
  </si>
  <si>
    <t>5599</t>
  </si>
  <si>
    <t>Zůstatek prostředků z minulého roku z poplatků za odběr podzemních vod - účelové prostředky Havarijního fondu pro ochranu jakosti vod SK</t>
  </si>
  <si>
    <t>3522</t>
  </si>
  <si>
    <t xml:space="preserve">Výdaje na semináře a prezentace činností v oblasti regionálního rozvoje </t>
  </si>
  <si>
    <t>x</t>
  </si>
  <si>
    <t xml:space="preserve">ROZPOČET STŘEDOČESKÉHO KRAJE </t>
  </si>
  <si>
    <t>Dar pro Hasičský záchranný sbor Středočeského kraje</t>
  </si>
  <si>
    <t>Kapitálové (investiční)  výdaje  zařazené v Zásobníku investic hrazené z vlastních zdrojů kraje (kapitola 12)</t>
  </si>
  <si>
    <r>
      <t xml:space="preserve">Smlouva o úvěru uzavřená s Komerční bankou, a.s. dne 12. 9. 2007 </t>
    </r>
    <r>
      <rPr>
        <sz val="11"/>
        <rFont val="Calibri"/>
        <family val="2"/>
        <charset val="238"/>
        <scheme val="minor"/>
      </rPr>
      <t>(financování investic v oblasti dopravy, zdravotnictví, životního prostředí, sociálních věcí, projektů spolufinancovaných strukturálními fondy EU, ..)</t>
    </r>
  </si>
  <si>
    <t xml:space="preserve">*) změna stavu finančních prostředků na účtech představuje ve schváleném a upraveném rozpočtu zapojení prostředků (zůstatku) z minulých let. Ve skutečnosti představuje financování změnu stavu na bankovních účtech. Příjmy - výdaje = přebytek(+) / schodek(-) = financování -/+. Tzn. rozpočet přebytkový tj. kladný rozdíl mezi příjmy a výdaji, financování je rovno minus (stav ke konci vykazovaného období je vyšší než stav k 1.1.), rozpočet schodkový, tj. záporný rozdíl příjmů a výdajů, financování je plusové (stav vykazovaného období je nižší než stav k 1.1.). </t>
  </si>
  <si>
    <t>Rozpočtová kapitola</t>
  </si>
  <si>
    <t>2310</t>
  </si>
  <si>
    <t>Středočeský Infrastrukturní fond - oblast regionálního školství</t>
  </si>
  <si>
    <t>Středočeský Infrastrukturní fond - oblast životní prostředí</t>
  </si>
  <si>
    <t>odstraňování škod po zimě</t>
  </si>
  <si>
    <t>Přehled běžných výdajů jednotlivých kapitol - obligatorní, semifakultativní a fakultativní výdaje</t>
  </si>
  <si>
    <t xml:space="preserve">Příspěvek zřízeným příspěvkovým organizacím celkem </t>
  </si>
  <si>
    <r>
      <t xml:space="preserve">Smlouva o úvěru uzavřená s Komerční bankou, a.s. ze dne 10. 11. 2021 </t>
    </r>
    <r>
      <rPr>
        <sz val="11"/>
        <rFont val="Calibri"/>
        <family val="2"/>
        <charset val="238"/>
        <scheme val="minor"/>
      </rPr>
      <t>(kofinancování projektů spolufinancovaných z prostředků EU/EHP a národních zdrojů)</t>
    </r>
  </si>
  <si>
    <r>
      <t>Smlouva o úvěru uzavřená s  Českou spořitelnou, a.s. ze dne 8. 11. 2021</t>
    </r>
    <r>
      <rPr>
        <sz val="11"/>
        <rFont val="Calibri"/>
        <family val="2"/>
        <charset val="238"/>
        <scheme val="minor"/>
      </rPr>
      <t xml:space="preserve"> (předfinancování projektů spolufinancovaných z  prostředků EU/EHP a národních zdrojů)</t>
    </r>
  </si>
  <si>
    <r>
      <t xml:space="preserve">Smlouva o financování uzavřená s Evropskou investiční bankou dne 30. 9. 2020 a 1. 7. 2021 </t>
    </r>
    <r>
      <rPr>
        <sz val="11"/>
        <rFont val="Calibri"/>
        <family val="2"/>
        <charset val="238"/>
        <scheme val="minor"/>
      </rPr>
      <t>(financování projektů v oblasti zdravotnictví, sociální péče, silniční dopravy, školství a v oblasti energetických úspor)</t>
    </r>
  </si>
  <si>
    <t>Rozpočet 2023</t>
  </si>
  <si>
    <t>Příspěvek na provoz (UZ 533)</t>
  </si>
  <si>
    <t>Příspěvek na běžné opravy a udržování (UZ 511)</t>
  </si>
  <si>
    <t>Ostatní zdroje</t>
  </si>
  <si>
    <t>Předfinancování projektů spolufinancovaných z EU/EHP (kapitola 23) - programové období 2014 - 2020</t>
  </si>
  <si>
    <t>Předfinancování projektů spolufinancovaných z EU/EHP (kapitola 23) – programové období 2021 - 2027</t>
  </si>
  <si>
    <t>Předfinancování a kofinancování projektů EU/EHP a ostatní související výdaje s projekty EU/EHP hrazené z vlastních zdrojů kraje</t>
  </si>
  <si>
    <t>Kofinancování projektů EU a ostatní související výdaje s projekty EU/EHP hrazené z úvěru přijatého od EIB</t>
  </si>
  <si>
    <t>Rezerva Středočeského kraje (kapitola 23)</t>
  </si>
  <si>
    <t>Příspěvek na výdaje na platy (UZ 555)</t>
  </si>
  <si>
    <t>výdaje na platy</t>
  </si>
  <si>
    <t>příspěvek na výdaje na platy</t>
  </si>
  <si>
    <t>Ostatní záležitosti v dopravě - technická studie VHD</t>
  </si>
  <si>
    <t>Odvádění a čištění odpadních vod a nakládání s kaly</t>
  </si>
  <si>
    <t>Ostatní záležitosti sociálních věcí a politiky zaměstnanosti - Senior a rodinné pasy</t>
  </si>
  <si>
    <t xml:space="preserve">Podpora vybraných oborů středních škol </t>
  </si>
  <si>
    <t>Juniorní centrum kybernetické bezpečnosti</t>
  </si>
  <si>
    <t>Pořízení, zachování a obnova hodnot místního kulturního, národního a historického povědomí</t>
  </si>
  <si>
    <t>Ostatní nemocnice</t>
  </si>
  <si>
    <t>z toho: výdaje na platy</t>
  </si>
  <si>
    <t>Členské příspěvky</t>
  </si>
  <si>
    <t>Soundtrack Poděbrady</t>
  </si>
  <si>
    <t>Podpora kinematografie a filmové tvorby</t>
  </si>
  <si>
    <t>Kulturní a kreativní odvětví</t>
  </si>
  <si>
    <t>Podpora poutního turismu</t>
  </si>
  <si>
    <t>Výdaje na platy hrazené z rozpočtu kraje</t>
  </si>
  <si>
    <t>Středočeský kraj - efektivní region (provozní výdaje)</t>
  </si>
  <si>
    <t>Rybářství a myslivost</t>
  </si>
  <si>
    <t>Předfinancování a podíl EU projektů spolufinancovaných z EU/EHP  – programové období 2014 - 2020</t>
  </si>
  <si>
    <t>Předfinancování a podíl EU projektů spolufinancovaných z EU/EHP  – programové období 2021 - 2027</t>
  </si>
  <si>
    <t xml:space="preserve">Předfinancování a podíl SR projektů spolufinancovaných z národních zdrojů </t>
  </si>
  <si>
    <t>Kofinancování projektů spolufinancovaných z EU/EHP a ostatní související výdaje s projekty EU/EHP – programové období 2014 - 2020</t>
  </si>
  <si>
    <t>Kofinancování projektů spolufinancovaných z EU/EHP a ostatní související výdaje s projekty EU/EHP – programové období 2021 - 2027</t>
  </si>
  <si>
    <t xml:space="preserve">Kofinancování projektů spolufinancovaných z EU/EHP a ostatní související výdaje s projekty EU/EHP - hrazené z úvěru přijatého od EIB </t>
  </si>
  <si>
    <t>Kofinancování projektů spolufinancovaných z národních zdrojů a ostatní související výdaje s projekty z národních zdrojů</t>
  </si>
  <si>
    <t>Zdroje:</t>
  </si>
  <si>
    <t>Festival základních uměleckých škol</t>
  </si>
  <si>
    <t>Cestovní ruch - příspěvek příspěvkovým organizacím</t>
  </si>
  <si>
    <t>Humanitární zahraniční pomoc přímá - příspěvek příspěvkové organizaci Integrovaná doprava Středočeského kraje</t>
  </si>
  <si>
    <t>Operace řízení likvidity</t>
  </si>
  <si>
    <t>podpora marketingu cestovního ruchu</t>
  </si>
  <si>
    <t>zajištění objížděk</t>
  </si>
  <si>
    <t>Volby do zastupitelstev územních samosprávných celků</t>
  </si>
  <si>
    <t>označníky (běžná údržba)</t>
  </si>
  <si>
    <t>Sociální péče a pomoc přistěhovalcům a vybraným etnikům</t>
  </si>
  <si>
    <t>označníky (obnova)</t>
  </si>
  <si>
    <t>Podpora podnikání, investiční příležitosti, brownfieldy</t>
  </si>
  <si>
    <t>Zajištění provozu a podpory aplikace eDotace</t>
  </si>
  <si>
    <t>z toho: výdaje na energie</t>
  </si>
  <si>
    <t>příspěvek na výdaje na energie</t>
  </si>
  <si>
    <t>Příspěvek na výdaje na energie</t>
  </si>
  <si>
    <t>výdaje na energie</t>
  </si>
  <si>
    <t>Příspěvek na výdaje na energie (UZ 544)</t>
  </si>
  <si>
    <t>Příspěvek na výdaje na energie zřízeným příspěvkovým organizacím celkem</t>
  </si>
  <si>
    <t>Příspěvek na platy zřízeným příspěvkovým organizacím celkem</t>
  </si>
  <si>
    <t>Rozvojové projekty příspěvkových organizací</t>
  </si>
  <si>
    <t>Činnosti památkových ústavů, hradů a zámků</t>
  </si>
  <si>
    <t>Hudební činnost</t>
  </si>
  <si>
    <t>Dvořákovo Příbramsko</t>
  </si>
  <si>
    <t>Středočeská skutečná liga</t>
  </si>
  <si>
    <t>Spolufinancování „Konkrétních opatření ke zmírnění negativních dopadů sucha a nedostatku vody ve Středočeském kraji“</t>
  </si>
  <si>
    <t>Příspěvek na provoz škol zřizovaných Středočeským krajem</t>
  </si>
  <si>
    <t>Kapitálové výdaje - jednotlivé kapitoly (bez prostředků na krytí Zásobníku investic)</t>
  </si>
  <si>
    <t>Předfinancování projektů spolufinancovaných z národních zdrojů (kapitola 23)</t>
  </si>
  <si>
    <t>Kapitola 16 - Správní agendy</t>
  </si>
  <si>
    <t>dopravní obslužnost veřejnými službami - linková, hrazená z prostředků kraje</t>
  </si>
  <si>
    <t>dopravní obslužnost veřejnými službami - drážní,  hrazená z prostředků kraje</t>
  </si>
  <si>
    <t>Náhrady nákladů ze státního rozpočtu (kapitola 07 a kapitola 10)</t>
  </si>
  <si>
    <t>Ostatní záležitosti sociálních věcí a politiky zaměstnanosti - Virtuální prohlídky</t>
  </si>
  <si>
    <t>Středočeský Humanitární fond - oblast sociální</t>
  </si>
  <si>
    <t>Rámcový přehled předfinancování projektů spolufinancovaných z EU/EHP a národních zdrojů</t>
  </si>
  <si>
    <t>Rámcový přehled kofinancování projektů spolufinancovaných z EU/EHP a národních zdrojů</t>
  </si>
  <si>
    <t>Čerpání přijatého úvěru od Evropské investiční banky v roce 2020 a 2021 (financování investičních akcí a kofinancování projektů EU)</t>
  </si>
  <si>
    <t>Příspěvky zřízeným příspěvkovým organizacím celkem  (UZ 511, 533, 544, 555)</t>
  </si>
  <si>
    <r>
      <t xml:space="preserve">Smlouva o úvěru uzavřená s Komerční bankou, a.s. dne 25. 6. 2020 </t>
    </r>
    <r>
      <rPr>
        <sz val="11"/>
        <rFont val="Calibri"/>
        <family val="2"/>
        <charset val="238"/>
        <scheme val="minor"/>
      </rPr>
      <t>(poskytnutí návratných finančních výpomocí OSVČ ze Středočeského kraje, které byly nepříznivě ekonomicky zasažení epidemií COVID-19)</t>
    </r>
  </si>
  <si>
    <t>Rozpočet 2024</t>
  </si>
  <si>
    <t>Humanitární pomoc Ukrajině</t>
  </si>
  <si>
    <t xml:space="preserve">Osobní asistence, pečovatelská služba a podpora samostatného bydlení </t>
  </si>
  <si>
    <t>Ostatní záležitosti bezpečnosti, veřejného pořádku</t>
  </si>
  <si>
    <t>přeprava osob se zdravotním postižením</t>
  </si>
  <si>
    <t xml:space="preserve">Limit pro minimální vratku </t>
  </si>
  <si>
    <t xml:space="preserve">502 výdaje na ostatní platby za provedenou práci </t>
  </si>
  <si>
    <t>503 povinné a zákonné pojistné placené zaměstnavatelem</t>
  </si>
  <si>
    <t>504 výdaje na odměny za užití duševního vlastnictví</t>
  </si>
  <si>
    <t>513 výdaje na nákup materiálu</t>
  </si>
  <si>
    <t>516 výdaje na nákup služeb</t>
  </si>
  <si>
    <t>517 výdaje na ostatní nákupy</t>
  </si>
  <si>
    <t>542 náhrady placené fyzickým osobám</t>
  </si>
  <si>
    <t>581 výdaje na náhrady za nezpůsobenou újmu a výdaje na náhrady škod způsobených rozhodnutím nebo nesprávným úředním postupem při výkonu veřejné moci</t>
  </si>
  <si>
    <t>504 odměny za užití duševního vlastnictví</t>
  </si>
  <si>
    <t>513 nákup materiálu</t>
  </si>
  <si>
    <t>515 nákup vody, paliv a energie</t>
  </si>
  <si>
    <t>516 nákup služeb</t>
  </si>
  <si>
    <t>517 ostatní nákupy</t>
  </si>
  <si>
    <t>Hospice</t>
  </si>
  <si>
    <t>Deinstitucionalizace a transformace dětských domovů</t>
  </si>
  <si>
    <t>536 ostatní nein. transfery jiným rozpočtům, platby daní</t>
  </si>
  <si>
    <t>512 výdaje na některé úpravy hmotných věcí a pořízení některých práv k hmotným věcem</t>
  </si>
  <si>
    <t>Partnerství pro městskou mobilitu</t>
  </si>
  <si>
    <t>příspěvek na energie</t>
  </si>
  <si>
    <t>expertní skupina pro výběrové řízení</t>
  </si>
  <si>
    <t>dopravní obslužnost veřejnými službami - linková, hrazená z prostředků ostatních krajů</t>
  </si>
  <si>
    <t>Členský příspěvek spolku BISON</t>
  </si>
  <si>
    <t>Neinvestiční transfery od krajů - linková doprava (třída 4)</t>
  </si>
  <si>
    <t>Neinvestiční transfery od krajů - drážní doprava (třída 4)</t>
  </si>
  <si>
    <t>Dotace ze státního rozpočtu - drážní doprava (třída 4)</t>
  </si>
  <si>
    <t>Dotace ze státního rozpočtu - drážní doprava (kapitola 26)</t>
  </si>
  <si>
    <t>Podpora předškolního vzdělávání</t>
  </si>
  <si>
    <t>Odborné sociální poradentství</t>
  </si>
  <si>
    <t>Sociální rehabilitace</t>
  </si>
  <si>
    <t>Tísňová péče</t>
  </si>
  <si>
    <t>Týdenní stacionáře</t>
  </si>
  <si>
    <t>Ostatní služby a činnosti v oblasti sociální péče</t>
  </si>
  <si>
    <t>Nízkoprahová zařízení pro děti a mládež</t>
  </si>
  <si>
    <t>Sociálně terapeutické dílny</t>
  </si>
  <si>
    <t>Terénní programy</t>
  </si>
  <si>
    <t>Úspora energií a obnovitelné zdroje</t>
  </si>
  <si>
    <t>Obsahová analýza a design vzory pro weby Krajského úřadu Středočeského kraje</t>
  </si>
  <si>
    <t>Post Bellum, z.ú.</t>
  </si>
  <si>
    <t>Podpora audiovizuální tvorby ve Středočeském kraji</t>
  </si>
  <si>
    <t>Humanitární pomoc Ukrajině - Červený kříž, dětské tábory</t>
  </si>
  <si>
    <t>Program ,,Obchůdek 2021+"</t>
  </si>
  <si>
    <t>Podpora živnostníků ve Středočeském kraji</t>
  </si>
  <si>
    <t>Cestovní ruch</t>
  </si>
  <si>
    <t>Splátky přijatého úvěru - EIB (z roku 2020 a 2021) - jistina</t>
  </si>
  <si>
    <t>Program na podporu rozvoje meziobecní spolupráce v oblasti strategického rozvoje dobrovolných svazků obcí Středočeského kraje</t>
  </si>
  <si>
    <t>Program na podporu vzdělávacích programů v oblasti podnikání v hospodářsky a sociálně ohrožených obcích s rozšířenou působností a obcích s pověřeným obecním úřadem ve Středočeském kraji</t>
  </si>
  <si>
    <t xml:space="preserve">Zůstatek prostředků z minulého roku ze splátek návratných finančních výpomocí OSVČ v souvislostí s pandemií COVID-19 </t>
  </si>
  <si>
    <t>Splátky přijatého úvěru od Evropské investiční banky v roce 2020 a 2021 (financování investičních akcí a kofinancování projektů EU)</t>
  </si>
  <si>
    <t>Naplňování koncepce prorodinné politiky</t>
  </si>
  <si>
    <t>Školení, vzdělávání a ocenění za mimořádný přínos pro oblast tradiční lidové kultury</t>
  </si>
  <si>
    <t>Regionální funkce knihoven Středočeského kraje</t>
  </si>
  <si>
    <t xml:space="preserve">Činnost regionální správy </t>
  </si>
  <si>
    <t>Dotace ze státního rozpočtu - sociální služby (třída 4)</t>
  </si>
  <si>
    <t>Dotace ze státního rozpočtu - sociální služby (kapitola 17)</t>
  </si>
  <si>
    <t>Operační program Vzdělávání pro konkurenceschopnost - vrácení dotace příjemci Senbio s.r.o. - dle rozhodnutí ministerstva financí</t>
  </si>
  <si>
    <t xml:space="preserve">Rozvoj ICT nástrojů pro řízení a podporu příspěvkových organizací </t>
  </si>
  <si>
    <t>Portál příspěvkových organizací</t>
  </si>
  <si>
    <t>Rozvoj sítí elektronických komunikací - Bílá místa</t>
  </si>
  <si>
    <t xml:space="preserve">Přehled výdajů jednotlivých kapitol - běžné výdaje, výdaje na energie, výdaje na platy, výdaje na opravy a údržbu majetku </t>
  </si>
  <si>
    <t>NA ROK 2025</t>
  </si>
  <si>
    <t>Rozpočet Středočeského kraje na rok 2025</t>
  </si>
  <si>
    <t>Rozpočet 2025</t>
  </si>
  <si>
    <t>Rozpočet Středočeského kraje na rok 2025 - běžné výdaje kapitol</t>
  </si>
  <si>
    <t>% 2025/2024 schv. rozp.</t>
  </si>
  <si>
    <t>% 2025/2024 upr. rozp.</t>
  </si>
  <si>
    <t>Maximální částka v roce 2025</t>
  </si>
  <si>
    <t>Digitalizace</t>
  </si>
  <si>
    <t>Vinařský fond</t>
  </si>
  <si>
    <t>Záležitosti zájmového vzdělávání jinde nazařazené</t>
  </si>
  <si>
    <t>Ostatní zahraniční pomoc</t>
  </si>
  <si>
    <t>Ostatní činnosti související se službami pro fyzické osoby</t>
  </si>
  <si>
    <t>Ostatní sociální péče a pomoc ostatním skupinám fyzických osob</t>
  </si>
  <si>
    <t>Mezinárodní spolupráce jinde nezařazená</t>
  </si>
  <si>
    <t>Správa v lesním hospodářství</t>
  </si>
  <si>
    <t>Opatření ke snižování produkce skleníkových plynů a plynů poškozujících ozónovou vrstvu</t>
  </si>
  <si>
    <t>Participativní rozpočet</t>
  </si>
  <si>
    <t>Zajištění podpory administrace projektů EPC II v MS2021+</t>
  </si>
  <si>
    <t>Členský příspěvek Středočeské inovační centrum</t>
  </si>
  <si>
    <t>Dotace online.cz</t>
  </si>
  <si>
    <t>Kontrola technické způsobilosti vozidel</t>
  </si>
  <si>
    <t>Odborné sociální poradenství</t>
  </si>
  <si>
    <t>Zařízení pro děti vyžadující okamžitou pomoc</t>
  </si>
  <si>
    <t>Osobní asistence, pečovatelská služba a podpora samostatného bydlení</t>
  </si>
  <si>
    <t>Raná péče a sociálně aktivizační služby pro rodiny s dětmi</t>
  </si>
  <si>
    <t>Krizová pomoc</t>
  </si>
  <si>
    <t>Azylové domy, nízkoprahová denní centra a noclehárny</t>
  </si>
  <si>
    <t>Ostatní služby a činnosti v oblasti sociální prevence</t>
  </si>
  <si>
    <t>Individuální návratná finanční výpomoc</t>
  </si>
  <si>
    <t>ČD - Antigraffity, čisté vlaky</t>
  </si>
  <si>
    <t>Podpora hospodářsky a sociálně ohrožených území ve Středočeském kraji</t>
  </si>
  <si>
    <t>Služby následné péče, terapeutické komunity a kontaktní centra</t>
  </si>
  <si>
    <t>Dopravní obslužnost veřejnými službami - příspěvek příspěvkové organizaci Integrovaná doprava Středočeského kraje</t>
  </si>
  <si>
    <t>Předfinancování, kofinancování a ostatní související výdaje s projekty spolufinancovanými z EU/EHP</t>
  </si>
  <si>
    <t>Předfinancování, kofinancování a ostatní související výdaje</t>
  </si>
  <si>
    <t>Program na podporu geoparků na území Středočeského kraje</t>
  </si>
  <si>
    <t>Městská knihovna Benešov, Knihovna Kutná Hora, Knihovna města Mladá Boleslav, Knihovna Jana Drdy Příbram</t>
  </si>
  <si>
    <t>Regionální funkce knihoven Středočeského kraje - Bookstart: S knížkou do života</t>
  </si>
  <si>
    <t>Neuznatelné náklady</t>
  </si>
  <si>
    <t>Limit pro čerpání z kapitoly 23 - Ostatní</t>
  </si>
  <si>
    <t>Realizace a zajištění provozu informačního systému pro správu finanční podpory Středočeského kraje</t>
  </si>
  <si>
    <t>Program pro poskytování návratné finanční výpomoci z rozpočtu Středočeského kraje - sociální oblast</t>
  </si>
  <si>
    <t>Ostatní záležitosti vzdělávání - Prevence kriminality</t>
  </si>
  <si>
    <t>Činnost regionální správy - Bezpečnostní opatření</t>
  </si>
  <si>
    <t>dopravní obslužnost veřejnými službami - linková, hrazená z prostředků obcí a DSO</t>
  </si>
  <si>
    <t>dopravní obslužnost veřejnými službami - drážní, hrazená z prostředků obcí a DSO</t>
  </si>
  <si>
    <t>Individuální návratná fininanční výpomoc MAS Karlštejnsko, z. ú. - překlenutí výpadku cash flow</t>
  </si>
  <si>
    <t xml:space="preserve">Výsadba stromů v obcích </t>
  </si>
  <si>
    <t>Mateřské školy - odvod na základě výzvy</t>
  </si>
  <si>
    <t>Základní školy - odvod na základě výzvy</t>
  </si>
  <si>
    <t>Úhrady za dobývání nerostů a poplatky za geologické práce (třída 1)</t>
  </si>
  <si>
    <t>Předfinancování, kofinancování a ostatní související výdaje s projekty spolufinancovanými z národních zdrojů</t>
  </si>
  <si>
    <t>Dotace - projekty spolufinancované z EU/EHP (třída 4, do roku 2023 třída 2 - vratky)</t>
  </si>
  <si>
    <t>Dotace - projekty spolufinancované z národních zdrojů (třída 4, do roku 2023 třída 2 - vratky)</t>
  </si>
  <si>
    <t>Vratky předfinancování projektů spolufinancovaných z EU/EHP (třída 2)</t>
  </si>
  <si>
    <t>Vratky předfinancování projektů spolufinancovaných z národních zdrojů (třída 2)</t>
  </si>
  <si>
    <t xml:space="preserve">Příprava projektů </t>
  </si>
  <si>
    <t>Informativní součet  celkový limit pro čerpání  z kapitoly 23 - Ostatní</t>
  </si>
  <si>
    <t>Informativní součet  celkové čerpání z kapitoly 23 - Ostatní</t>
  </si>
  <si>
    <t>Projekty spolufinancované z EU/EHP a národních zdrojů</t>
  </si>
  <si>
    <t>Předpoklad čerpání z kapitoly 23 - Ostatní</t>
  </si>
  <si>
    <t xml:space="preserve">Kofinancování </t>
  </si>
  <si>
    <t xml:space="preserve">Předfinancování </t>
  </si>
  <si>
    <t>Uznatelné náklady</t>
  </si>
  <si>
    <t xml:space="preserve">Minimální vratka </t>
  </si>
  <si>
    <t>Čerpání úvěru EIB</t>
  </si>
  <si>
    <t>Program na podporu rozvoje destinačních managementů Středočeského kraje</t>
  </si>
  <si>
    <t>2294</t>
  </si>
  <si>
    <t>ČD - Obnova vozového parku (nové vlaky)</t>
  </si>
  <si>
    <t>2292</t>
  </si>
  <si>
    <t>Rezerva - posílení autobusové dopravy</t>
  </si>
  <si>
    <t>Rezerva - posílení drážní dopravy</t>
  </si>
  <si>
    <t>Rezerva - pokles příjmů ze standardů dopravní obslužnosti</t>
  </si>
  <si>
    <t>zabezpečení skalních masivů a svahů</t>
  </si>
  <si>
    <t>údržba mostů</t>
  </si>
  <si>
    <t>Digitální technická mapa</t>
  </si>
  <si>
    <t>24</t>
  </si>
  <si>
    <t>6172</t>
  </si>
  <si>
    <t>Ostatní sociální péče a pomoc rodině a manželství - Zajištění příprav a psychologického posouzení žadatelů o náhradní rodinnou péči</t>
  </si>
  <si>
    <t>Modernizace nemocnic založených Středočeským krajem</t>
  </si>
  <si>
    <t xml:space="preserve">Program 2025 - ZDRAVOTNICTVÍ pro poskytování investičních dotací z rozpočtu Středočeského kraje poskytovatelům akutní lůžkové péče na území Středočeského kraje </t>
  </si>
  <si>
    <t>2292/2294</t>
  </si>
  <si>
    <t>Ostatní záležitosti ochrany fyzických osob</t>
  </si>
  <si>
    <t>Implementace, podpora a provoz jednotného ekonomického informačního systému pro příspěvkové organizace</t>
  </si>
  <si>
    <t>Upravený rozpočet k 30. 9.</t>
  </si>
  <si>
    <t>Skutečnost k 30. 9.</t>
  </si>
  <si>
    <t>Skutečnost          k 30. 9.</t>
  </si>
  <si>
    <t>Skutečnost          k 31. 12.</t>
  </si>
  <si>
    <t>Skutečnost           k 31. 12.</t>
  </si>
  <si>
    <t>Skutečnost               k 31. 12.</t>
  </si>
  <si>
    <t>Skutečnost               k 30. 9.</t>
  </si>
  <si>
    <t>Skutečnost             k 31. 12.</t>
  </si>
  <si>
    <t xml:space="preserve">Implementace elektronické řídicí kontroly do dalších příspěvkových organizací </t>
  </si>
  <si>
    <t>Dopravní obslužnost veřejnými službami - drážní, hrazená z prostředků ostatních krajů</t>
  </si>
  <si>
    <t>Rezerva - autobusová doprava (propad tržeb), protarifovací ztráta na železnici a neočekávané výdaje</t>
  </si>
  <si>
    <t xml:space="preserve">Limity čerpání včetně kofinancování, vratek a přípravy projektů Středočeského kraje - projekty spolufinancované z EU/EHP - programové období 2021 - 2027, projekty realizované Středočeským krajem </t>
  </si>
  <si>
    <t>Limity čerpání včetně kofinancování, vratek a přípravy projektů Středočeského kraje - projekty spolufinancované z EU/EHP - programové období 2021 - 2027, projekty realizované zřízenými příspěvkovými organizacemi, založenými akciovými společnostmi</t>
  </si>
  <si>
    <t>Předpoklad čerpání včetně kofinancování, vratek a přípravy projektů Středočeského kraje na rok 2025 - projekty spolufinancované z národních zdrojů</t>
  </si>
  <si>
    <t>Neinvestiční transfery od obcí a DSO - linková doprava (třída 4)</t>
  </si>
  <si>
    <t>Neinvestiční transfery od obcí a DSO - drážní doprava (třída 4)</t>
  </si>
  <si>
    <t>Příloha č.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</si>
</sst>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 #,##0.00\ _K_č_-;\-* #,##0.00\ _K_č_-;_-* &quot;-&quot;??\ _K_č_-;_-@_-"/>
    <numFmt numFmtId="165" formatCode="#,##0.0"/>
    <numFmt numFmtId="166" formatCode="0.0"/>
    <numFmt numFmtId="167" formatCode="&quot;Kč&quot;#,##0.00"/>
    <numFmt numFmtId="168" formatCode="#,##0.000000"/>
    <numFmt numFmtId="169" formatCode="#,##0.000"/>
  </numFmts>
  <fonts count="55"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sz val="10"/>
      <name val="Arial"/>
      <family val="2"/>
      <charset val="204"/>
    </font>
    <font>
      <sz val="10"/>
      <name val="Arial CE"/>
      <charset val="238"/>
    </font>
    <font>
      <sz val="10"/>
      <name val="Calibri"/>
      <family val="2"/>
      <charset val="238"/>
      <scheme val="minor"/>
    </font>
    <font>
      <b/>
      <sz val="10"/>
      <name val="Calibri"/>
      <family val="2"/>
      <charset val="238"/>
      <scheme val="minor"/>
    </font>
    <font>
      <sz val="11"/>
      <name val="Calibri"/>
      <family val="2"/>
      <charset val="238"/>
      <scheme val="minor"/>
    </font>
    <font>
      <b/>
      <sz val="14"/>
      <name val="Calibri"/>
      <family val="2"/>
      <charset val="238"/>
      <scheme val="minor"/>
    </font>
    <font>
      <sz val="12"/>
      <name val="Calibri"/>
      <family val="2"/>
      <charset val="238"/>
      <scheme val="minor"/>
    </font>
    <font>
      <b/>
      <sz val="12"/>
      <name val="Calibri"/>
      <family val="2"/>
      <charset val="238"/>
      <scheme val="minor"/>
    </font>
    <font>
      <b/>
      <sz val="11"/>
      <name val="Calibri"/>
      <family val="2"/>
      <charset val="238"/>
      <scheme val="minor"/>
    </font>
    <font>
      <sz val="9"/>
      <name val="Calibri"/>
      <family val="2"/>
      <charset val="238"/>
      <scheme val="minor"/>
    </font>
    <font>
      <sz val="8"/>
      <name val="Calibri"/>
      <family val="2"/>
      <charset val="238"/>
      <scheme val="minor"/>
    </font>
    <font>
      <b/>
      <sz val="18"/>
      <name val="Calibri"/>
      <family val="2"/>
      <charset val="238"/>
      <scheme val="minor"/>
    </font>
    <font>
      <sz val="14"/>
      <name val="Calibri"/>
      <family val="2"/>
      <charset val="238"/>
      <scheme val="minor"/>
    </font>
    <font>
      <sz val="20"/>
      <name val="Calibri"/>
      <family val="2"/>
      <charset val="238"/>
      <scheme val="minor"/>
    </font>
    <font>
      <i/>
      <sz val="10"/>
      <name val="Calibri"/>
      <family val="2"/>
      <charset val="238"/>
      <scheme val="minor"/>
    </font>
    <font>
      <b/>
      <i/>
      <sz val="10"/>
      <name val="Calibri"/>
      <family val="2"/>
      <charset val="238"/>
      <scheme val="minor"/>
    </font>
    <font>
      <sz val="7"/>
      <name val="Calibri"/>
      <family val="2"/>
      <charset val="238"/>
      <scheme val="minor"/>
    </font>
    <font>
      <b/>
      <sz val="10"/>
      <color rgb="FFFF0000"/>
      <name val="Calibri"/>
      <family val="2"/>
      <charset val="238"/>
      <scheme val="minor"/>
    </font>
    <font>
      <b/>
      <i/>
      <sz val="11"/>
      <name val="Calibri"/>
      <family val="2"/>
      <charset val="238"/>
      <scheme val="minor"/>
    </font>
    <font>
      <i/>
      <sz val="10"/>
      <color rgb="FFFF0000"/>
      <name val="Calibri"/>
      <family val="2"/>
      <charset val="238"/>
      <scheme val="minor"/>
    </font>
    <font>
      <b/>
      <sz val="14"/>
      <color theme="1"/>
      <name val="Calibri"/>
      <family val="2"/>
      <charset val="238"/>
      <scheme val="minor"/>
    </font>
    <font>
      <i/>
      <sz val="11"/>
      <name val="Calibri"/>
      <family val="2"/>
      <charset val="238"/>
      <scheme val="minor"/>
    </font>
    <font>
      <sz val="11"/>
      <color rgb="FFFF0000"/>
      <name val="Calibri"/>
      <family val="2"/>
      <charset val="238"/>
      <scheme val="minor"/>
    </font>
    <font>
      <sz val="18"/>
      <name val="Calibri"/>
      <family val="2"/>
      <charset val="238"/>
      <scheme val="minor"/>
    </font>
    <font>
      <sz val="22"/>
      <name val="Calibri"/>
      <family val="2"/>
      <charset val="238"/>
      <scheme val="minor"/>
    </font>
    <font>
      <b/>
      <sz val="24"/>
      <name val="Calibri"/>
      <family val="2"/>
      <charset val="238"/>
      <scheme val="minor"/>
    </font>
    <font>
      <b/>
      <sz val="11"/>
      <color rgb="FF7030A0"/>
      <name val="Calibri"/>
      <family val="2"/>
      <charset val="238"/>
      <scheme val="minor"/>
    </font>
    <font>
      <sz val="10"/>
      <color rgb="FFC00000"/>
      <name val="Calibri"/>
      <family val="2"/>
      <charset val="238"/>
      <scheme val="minor"/>
    </font>
    <font>
      <sz val="10"/>
      <color rgb="FF7030A0"/>
      <name val="Calibri"/>
      <family val="2"/>
      <charset val="238"/>
      <scheme val="minor"/>
    </font>
    <font>
      <b/>
      <sz val="12"/>
      <name val="Calibri"/>
      <family val="2"/>
      <charset val="238"/>
    </font>
    <font>
      <sz val="11"/>
      <color rgb="FF00B050"/>
      <name val="Calibri"/>
      <family val="2"/>
      <charset val="238"/>
      <scheme val="minor"/>
    </font>
    <font>
      <b/>
      <sz val="11"/>
      <color rgb="FF00B050"/>
      <name val="Calibri"/>
      <family val="2"/>
      <charset val="238"/>
      <scheme val="minor"/>
    </font>
    <font>
      <sz val="11"/>
      <color rgb="FF00B0F0"/>
      <name val="Calibri"/>
      <family val="2"/>
      <charset val="238"/>
      <scheme val="minor"/>
    </font>
    <font>
      <b/>
      <sz val="11"/>
      <color rgb="FF00B0F0"/>
      <name val="Calibri"/>
      <family val="2"/>
      <charset val="238"/>
      <scheme val="minor"/>
    </font>
    <font>
      <sz val="11"/>
      <color rgb="FF008A3E"/>
      <name val="Calibri"/>
      <family val="2"/>
      <charset val="238"/>
      <scheme val="minor"/>
    </font>
    <font>
      <sz val="11"/>
      <color rgb="FF0085B4"/>
      <name val="Calibri"/>
      <family val="2"/>
      <charset val="238"/>
      <scheme val="minor"/>
    </font>
    <font>
      <sz val="10"/>
      <color rgb="FF00C400"/>
      <name val="Calibri"/>
      <family val="2"/>
      <charset val="238"/>
      <scheme val="minor"/>
    </font>
    <font>
      <sz val="11"/>
      <name val="Calibri"/>
      <family val="2"/>
      <charset val="238"/>
    </font>
    <font>
      <b/>
      <i/>
      <sz val="12"/>
      <name val="Calibri"/>
      <family val="2"/>
      <charset val="238"/>
      <scheme val="minor"/>
    </font>
    <font>
      <b/>
      <sz val="11"/>
      <color rgb="FFCC6600"/>
      <name val="Calibri"/>
      <family val="2"/>
      <charset val="238"/>
      <scheme val="minor"/>
    </font>
    <font>
      <sz val="11"/>
      <color rgb="FFCC6600"/>
      <name val="Calibri"/>
      <family val="2"/>
      <charset val="238"/>
      <scheme val="minor"/>
    </font>
    <font>
      <sz val="12"/>
      <name val="Times New Roman"/>
      <family val="1"/>
      <charset val="238"/>
    </font>
    <font>
      <b/>
      <sz val="12"/>
      <name val="Times New Roman"/>
      <family val="1"/>
      <charset val="238"/>
    </font>
    <font>
      <sz val="10"/>
      <color rgb="FFFF0000"/>
      <name val="Calibri"/>
      <family val="2"/>
      <charset val="238"/>
      <scheme val="minor"/>
    </font>
    <font>
      <sz val="11"/>
      <name val="Aptos"/>
      <family val="2"/>
    </font>
    <font>
      <sz val="11"/>
      <name val="Arial"/>
      <family val="2"/>
      <charset val="238"/>
    </font>
  </fonts>
  <fills count="13">
    <fill>
      <patternFill patternType="none"/>
    </fill>
    <fill>
      <patternFill patternType="gray125"/>
    </fill>
    <fill>
      <patternFill patternType="solid">
        <fgColor rgb="FFCCFFCC"/>
        <bgColor indexed="64"/>
      </patternFill>
    </fill>
    <fill>
      <patternFill patternType="solid">
        <fgColor rgb="FFFFFFCC"/>
        <bgColor indexed="64"/>
      </patternFill>
    </fill>
    <fill>
      <patternFill patternType="solid">
        <fgColor rgb="FFFFFF66"/>
        <bgColor indexed="64"/>
      </patternFill>
    </fill>
    <fill>
      <patternFill patternType="solid">
        <fgColor theme="0"/>
        <bgColor indexed="64"/>
      </patternFill>
    </fill>
    <fill>
      <patternFill patternType="solid">
        <fgColor theme="9" tint="0.79998168889431442"/>
        <bgColor indexed="64"/>
      </patternFill>
    </fill>
    <fill>
      <patternFill patternType="solid">
        <fgColor rgb="FFE1FFE1"/>
        <bgColor indexed="64"/>
      </patternFill>
    </fill>
    <fill>
      <patternFill patternType="solid">
        <fgColor rgb="FFCCECFF"/>
        <bgColor indexed="64"/>
      </patternFill>
    </fill>
    <fill>
      <patternFill patternType="solid">
        <fgColor rgb="FFFFCC00"/>
        <bgColor indexed="64"/>
      </patternFill>
    </fill>
    <fill>
      <patternFill patternType="solid">
        <fgColor rgb="FFFF603B"/>
        <bgColor indexed="64"/>
      </patternFill>
    </fill>
    <fill>
      <patternFill patternType="solid">
        <fgColor rgb="FF92D050"/>
        <bgColor indexed="64"/>
      </patternFill>
    </fill>
    <fill>
      <patternFill patternType="solid">
        <fgColor rgb="FFFCFBC5"/>
        <bgColor indexed="64"/>
      </patternFill>
    </fill>
  </fills>
  <borders count="83">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diagonal/>
    </border>
    <border>
      <left/>
      <right/>
      <top/>
      <bottom style="thin">
        <color indexed="64"/>
      </bottom>
      <diagonal/>
    </border>
    <border>
      <left/>
      <right/>
      <top/>
      <bottom style="medium">
        <color indexed="64"/>
      </bottom>
      <diagonal/>
    </border>
    <border>
      <left/>
      <right/>
      <top style="thin">
        <color indexed="64"/>
      </top>
      <bottom style="medium">
        <color indexed="64"/>
      </bottom>
      <diagonal/>
    </border>
    <border>
      <left style="thin">
        <color indexed="64"/>
      </left>
      <right/>
      <top/>
      <bottom/>
      <diagonal/>
    </border>
    <border>
      <left style="medium">
        <color rgb="FF000000"/>
      </left>
      <right style="thin">
        <color indexed="64"/>
      </right>
      <top style="thin">
        <color indexed="64"/>
      </top>
      <bottom style="thin">
        <color indexed="64"/>
      </bottom>
      <diagonal/>
    </border>
    <border>
      <left/>
      <right style="medium">
        <color rgb="FF000000"/>
      </right>
      <top style="thin">
        <color indexed="64"/>
      </top>
      <bottom style="thin">
        <color indexed="64"/>
      </bottom>
      <diagonal/>
    </border>
  </borders>
  <cellStyleXfs count="23">
    <xf numFmtId="0" fontId="0" fillId="0" borderId="0"/>
    <xf numFmtId="0" fontId="7" fillId="0" borderId="0"/>
    <xf numFmtId="0" fontId="7" fillId="0" borderId="0"/>
    <xf numFmtId="0" fontId="6" fillId="0" borderId="0"/>
    <xf numFmtId="0" fontId="5" fillId="0" borderId="0"/>
    <xf numFmtId="0" fontId="9" fillId="0" borderId="0"/>
    <xf numFmtId="0" fontId="4" fillId="0" borderId="0"/>
    <xf numFmtId="0" fontId="3" fillId="0" borderId="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7" fillId="0" borderId="0"/>
    <xf numFmtId="0" fontId="7" fillId="0" borderId="0"/>
    <xf numFmtId="0" fontId="2" fillId="0" borderId="0"/>
    <xf numFmtId="0" fontId="1" fillId="0" borderId="0"/>
    <xf numFmtId="0" fontId="7" fillId="0" borderId="0"/>
    <xf numFmtId="0" fontId="7" fillId="0" borderId="0"/>
    <xf numFmtId="0" fontId="7" fillId="0" borderId="0"/>
    <xf numFmtId="0" fontId="7" fillId="0" borderId="0"/>
    <xf numFmtId="43" fontId="7" fillId="0" borderId="0" applyFont="0" applyFill="0" applyBorder="0" applyAlignment="0" applyProtection="0"/>
  </cellStyleXfs>
  <cellXfs count="1460">
    <xf numFmtId="0" fontId="0" fillId="0" borderId="0" xfId="0"/>
    <xf numFmtId="0" fontId="11" fillId="0" borderId="0" xfId="14" applyFont="1"/>
    <xf numFmtId="3" fontId="11" fillId="0" borderId="0" xfId="14" applyNumberFormat="1" applyFont="1"/>
    <xf numFmtId="4" fontId="11" fillId="0" borderId="0" xfId="14" applyNumberFormat="1" applyFont="1"/>
    <xf numFmtId="3" fontId="12" fillId="0" borderId="0" xfId="14" applyNumberFormat="1" applyFont="1"/>
    <xf numFmtId="166" fontId="11" fillId="0" borderId="0" xfId="14" applyNumberFormat="1" applyFont="1" applyAlignment="1">
      <alignment horizontal="right"/>
    </xf>
    <xf numFmtId="166" fontId="13" fillId="0" borderId="0" xfId="14" applyNumberFormat="1" applyFont="1" applyAlignment="1">
      <alignment horizontal="right"/>
    </xf>
    <xf numFmtId="0" fontId="14" fillId="0" borderId="0" xfId="14" applyFont="1"/>
    <xf numFmtId="166" fontId="13" fillId="0" borderId="0" xfId="15" applyNumberFormat="1" applyFont="1" applyAlignment="1">
      <alignment horizontal="right"/>
    </xf>
    <xf numFmtId="0" fontId="15" fillId="0" borderId="0" xfId="14" applyFont="1"/>
    <xf numFmtId="0" fontId="16" fillId="0" borderId="0" xfId="15" applyFont="1"/>
    <xf numFmtId="3" fontId="16" fillId="0" borderId="0" xfId="15" applyNumberFormat="1" applyFont="1"/>
    <xf numFmtId="4" fontId="16" fillId="0" borderId="0" xfId="15" applyNumberFormat="1" applyFont="1"/>
    <xf numFmtId="4" fontId="15" fillId="0" borderId="0" xfId="14" applyNumberFormat="1" applyFont="1"/>
    <xf numFmtId="3" fontId="15" fillId="0" borderId="0" xfId="14" applyNumberFormat="1" applyFont="1"/>
    <xf numFmtId="3" fontId="16" fillId="0" borderId="0" xfId="14" applyNumberFormat="1" applyFont="1"/>
    <xf numFmtId="166" fontId="15" fillId="0" borderId="0" xfId="14" applyNumberFormat="1" applyFont="1" applyAlignment="1">
      <alignment horizontal="right"/>
    </xf>
    <xf numFmtId="0" fontId="11" fillId="0" borderId="0" xfId="14" applyFont="1" applyAlignment="1">
      <alignment horizontal="left" wrapText="1"/>
    </xf>
    <xf numFmtId="0" fontId="16" fillId="0" borderId="0" xfId="14" applyFont="1" applyAlignment="1">
      <alignment horizontal="left" wrapText="1"/>
    </xf>
    <xf numFmtId="0" fontId="16" fillId="0" borderId="0" xfId="14" applyFont="1"/>
    <xf numFmtId="0" fontId="17" fillId="0" borderId="0" xfId="14" applyFont="1"/>
    <xf numFmtId="3" fontId="17" fillId="0" borderId="0" xfId="14" applyNumberFormat="1" applyFont="1"/>
    <xf numFmtId="4" fontId="17" fillId="0" borderId="0" xfId="14" applyNumberFormat="1" applyFont="1"/>
    <xf numFmtId="4" fontId="17" fillId="0" borderId="0" xfId="14" applyNumberFormat="1" applyFont="1" applyAlignment="1">
      <alignment horizontal="right"/>
    </xf>
    <xf numFmtId="166" fontId="17" fillId="0" borderId="0" xfId="15" applyNumberFormat="1" applyFont="1" applyAlignment="1">
      <alignment horizontal="right"/>
    </xf>
    <xf numFmtId="166" fontId="12" fillId="0" borderId="0" xfId="14" applyNumberFormat="1" applyFont="1" applyAlignment="1">
      <alignment horizontal="right" wrapText="1"/>
    </xf>
    <xf numFmtId="0" fontId="19" fillId="0" borderId="0" xfId="14" applyFont="1" applyAlignment="1">
      <alignment vertical="center"/>
    </xf>
    <xf numFmtId="0" fontId="20" fillId="0" borderId="0" xfId="1" applyFont="1"/>
    <xf numFmtId="4" fontId="12" fillId="0" borderId="0" xfId="0" applyNumberFormat="1" applyFont="1"/>
    <xf numFmtId="0" fontId="11" fillId="0" borderId="0" xfId="0" applyFont="1"/>
    <xf numFmtId="0" fontId="20" fillId="0" borderId="0" xfId="1" applyFont="1" applyAlignment="1">
      <alignment horizontal="left"/>
    </xf>
    <xf numFmtId="4" fontId="11" fillId="0" borderId="0" xfId="0" applyNumberFormat="1" applyFont="1"/>
    <xf numFmtId="165" fontId="13" fillId="0" borderId="0" xfId="0" applyNumberFormat="1" applyFont="1" applyAlignment="1">
      <alignment horizontal="right"/>
    </xf>
    <xf numFmtId="4" fontId="17" fillId="0" borderId="0" xfId="0" applyNumberFormat="1" applyFont="1" applyAlignment="1">
      <alignment vertical="center"/>
    </xf>
    <xf numFmtId="0" fontId="17" fillId="0" borderId="0" xfId="0" applyFont="1" applyAlignment="1">
      <alignment vertical="center"/>
    </xf>
    <xf numFmtId="0" fontId="16" fillId="0" borderId="0" xfId="0" applyFont="1"/>
    <xf numFmtId="0" fontId="16" fillId="0" borderId="56" xfId="0" applyFont="1" applyBorder="1" applyAlignment="1">
      <alignment wrapText="1"/>
    </xf>
    <xf numFmtId="165" fontId="11" fillId="0" borderId="0" xfId="0" applyNumberFormat="1" applyFont="1"/>
    <xf numFmtId="3" fontId="12" fillId="0" borderId="0" xfId="0" applyNumberFormat="1" applyFont="1"/>
    <xf numFmtId="0" fontId="14" fillId="0" borderId="0" xfId="0" applyFont="1"/>
    <xf numFmtId="3" fontId="11" fillId="0" borderId="0" xfId="0" applyNumberFormat="1" applyFont="1"/>
    <xf numFmtId="3" fontId="16" fillId="0" borderId="5" xfId="0" applyNumberFormat="1" applyFont="1" applyBorder="1"/>
    <xf numFmtId="4" fontId="16" fillId="0" borderId="16" xfId="0" applyNumberFormat="1" applyFont="1" applyBorder="1"/>
    <xf numFmtId="4" fontId="16" fillId="0" borderId="6" xfId="0" applyNumberFormat="1" applyFont="1" applyBorder="1"/>
    <xf numFmtId="14" fontId="11" fillId="0" borderId="0" xfId="0" applyNumberFormat="1" applyFont="1"/>
    <xf numFmtId="3" fontId="13" fillId="0" borderId="0" xfId="0" applyNumberFormat="1" applyFont="1" applyAlignment="1">
      <alignment horizontal="right"/>
    </xf>
    <xf numFmtId="4" fontId="16" fillId="0" borderId="0" xfId="0" applyNumberFormat="1" applyFont="1"/>
    <xf numFmtId="0" fontId="11" fillId="0" borderId="0" xfId="0" applyFont="1" applyAlignment="1">
      <alignment horizontal="center"/>
    </xf>
    <xf numFmtId="0" fontId="23" fillId="0" borderId="0" xfId="0" applyFont="1"/>
    <xf numFmtId="3" fontId="11" fillId="0" borderId="0" xfId="0" applyNumberFormat="1" applyFont="1" applyAlignment="1">
      <alignment horizontal="center"/>
    </xf>
    <xf numFmtId="0" fontId="11" fillId="0" borderId="0" xfId="0" applyFont="1" applyAlignment="1">
      <alignment horizontal="left"/>
    </xf>
    <xf numFmtId="14" fontId="11" fillId="0" borderId="0" xfId="0" applyNumberFormat="1" applyFont="1" applyAlignment="1">
      <alignment horizontal="center"/>
    </xf>
    <xf numFmtId="0" fontId="16" fillId="0" borderId="10" xfId="0" applyFont="1" applyBorder="1" applyAlignment="1">
      <alignment wrapText="1"/>
    </xf>
    <xf numFmtId="3" fontId="16" fillId="0" borderId="48" xfId="0" applyNumberFormat="1" applyFont="1" applyBorder="1"/>
    <xf numFmtId="165" fontId="16" fillId="0" borderId="10" xfId="0" applyNumberFormat="1" applyFont="1" applyBorder="1"/>
    <xf numFmtId="165" fontId="16" fillId="0" borderId="0" xfId="0" applyNumberFormat="1" applyFont="1"/>
    <xf numFmtId="165" fontId="15" fillId="0" borderId="0" xfId="0" applyNumberFormat="1" applyFont="1" applyAlignment="1">
      <alignment horizontal="right"/>
    </xf>
    <xf numFmtId="0" fontId="11" fillId="0" borderId="0" xfId="1" applyFont="1" applyAlignment="1">
      <alignment vertical="center"/>
    </xf>
    <xf numFmtId="3" fontId="20" fillId="0" borderId="0" xfId="1" applyNumberFormat="1" applyFont="1"/>
    <xf numFmtId="4" fontId="20" fillId="0" borderId="0" xfId="1" applyNumberFormat="1" applyFont="1"/>
    <xf numFmtId="3" fontId="14" fillId="0" borderId="0" xfId="0" applyNumberFormat="1" applyFont="1"/>
    <xf numFmtId="4" fontId="14" fillId="0" borderId="0" xfId="0" applyNumberFormat="1" applyFont="1"/>
    <xf numFmtId="0" fontId="25" fillId="0" borderId="0" xfId="14" applyFont="1"/>
    <xf numFmtId="0" fontId="23" fillId="0" borderId="0" xfId="14" applyFont="1"/>
    <xf numFmtId="166" fontId="23" fillId="0" borderId="41" xfId="14" applyNumberFormat="1" applyFont="1" applyBorder="1" applyAlignment="1">
      <alignment horizontal="right" wrapText="1"/>
    </xf>
    <xf numFmtId="0" fontId="13" fillId="0" borderId="0" xfId="14" applyFont="1"/>
    <xf numFmtId="0" fontId="11" fillId="0" borderId="0" xfId="14" applyFont="1" applyAlignment="1">
      <alignment horizontal="left"/>
    </xf>
    <xf numFmtId="0" fontId="11" fillId="0" borderId="0" xfId="14" applyFont="1" applyAlignment="1">
      <alignment vertical="center"/>
    </xf>
    <xf numFmtId="0" fontId="14" fillId="0" borderId="0" xfId="14" applyFont="1" applyAlignment="1">
      <alignment vertical="center"/>
    </xf>
    <xf numFmtId="0" fontId="15" fillId="0" borderId="0" xfId="14" applyFont="1" applyAlignment="1">
      <alignment vertical="center"/>
    </xf>
    <xf numFmtId="0" fontId="17" fillId="0" borderId="0" xfId="14" applyFont="1" applyAlignment="1">
      <alignment vertical="center"/>
    </xf>
    <xf numFmtId="0" fontId="11" fillId="0" borderId="0" xfId="0" applyFont="1" applyAlignment="1">
      <alignment vertical="center"/>
    </xf>
    <xf numFmtId="3" fontId="11" fillId="0" borderId="0" xfId="14" applyNumberFormat="1" applyFont="1" applyAlignment="1">
      <alignment vertical="center"/>
    </xf>
    <xf numFmtId="166" fontId="11" fillId="0" borderId="41" xfId="14" applyNumberFormat="1" applyFont="1" applyBorder="1" applyAlignment="1">
      <alignment horizontal="right" vertical="center" wrapText="1"/>
    </xf>
    <xf numFmtId="3" fontId="23" fillId="0" borderId="3" xfId="14" applyNumberFormat="1" applyFont="1" applyBorder="1" applyAlignment="1">
      <alignment vertical="center"/>
    </xf>
    <xf numFmtId="4" fontId="23" fillId="0" borderId="26" xfId="14" applyNumberFormat="1" applyFont="1" applyBorder="1" applyAlignment="1">
      <alignment vertical="center"/>
    </xf>
    <xf numFmtId="4" fontId="23" fillId="0" borderId="9" xfId="14" applyNumberFormat="1" applyFont="1" applyBorder="1" applyAlignment="1">
      <alignment horizontal="right" vertical="center"/>
    </xf>
    <xf numFmtId="4" fontId="23" fillId="0" borderId="43" xfId="14" applyNumberFormat="1" applyFont="1" applyBorder="1" applyAlignment="1">
      <alignment horizontal="right" vertical="center"/>
    </xf>
    <xf numFmtId="166" fontId="23" fillId="0" borderId="2" xfId="15" applyNumberFormat="1" applyFont="1" applyBorder="1" applyAlignment="1">
      <alignment horizontal="right" vertical="center"/>
    </xf>
    <xf numFmtId="166" fontId="23" fillId="0" borderId="41" xfId="14" applyNumberFormat="1" applyFont="1" applyBorder="1" applyAlignment="1">
      <alignment horizontal="right" vertical="center" wrapText="1"/>
    </xf>
    <xf numFmtId="3" fontId="23" fillId="0" borderId="2" xfId="14" applyNumberFormat="1" applyFont="1" applyBorder="1" applyAlignment="1">
      <alignment vertical="center"/>
    </xf>
    <xf numFmtId="4" fontId="23" fillId="0" borderId="8" xfId="14" applyNumberFormat="1" applyFont="1" applyBorder="1" applyAlignment="1">
      <alignment horizontal="right" vertical="center"/>
    </xf>
    <xf numFmtId="4" fontId="23" fillId="0" borderId="22" xfId="14" applyNumberFormat="1" applyFont="1" applyBorder="1" applyAlignment="1">
      <alignment horizontal="right" vertical="center"/>
    </xf>
    <xf numFmtId="3" fontId="23" fillId="0" borderId="2" xfId="14" applyNumberFormat="1" applyFont="1" applyBorder="1" applyAlignment="1">
      <alignment horizontal="right" vertical="center"/>
    </xf>
    <xf numFmtId="4" fontId="23" fillId="0" borderId="26" xfId="14" applyNumberFormat="1" applyFont="1" applyBorder="1" applyAlignment="1">
      <alignment horizontal="right" vertical="center"/>
    </xf>
    <xf numFmtId="3" fontId="11" fillId="0" borderId="0" xfId="14" applyNumberFormat="1" applyFont="1" applyAlignment="1">
      <alignment horizontal="left" vertical="center"/>
    </xf>
    <xf numFmtId="0" fontId="11" fillId="0" borderId="0" xfId="14" applyFont="1" applyAlignment="1">
      <alignment horizontal="left" vertical="center"/>
    </xf>
    <xf numFmtId="0" fontId="23" fillId="0" borderId="0" xfId="14" applyFont="1" applyAlignment="1">
      <alignment horizontal="left" vertical="center"/>
    </xf>
    <xf numFmtId="0" fontId="23" fillId="0" borderId="0" xfId="14" applyFont="1" applyAlignment="1">
      <alignment vertical="center"/>
    </xf>
    <xf numFmtId="4" fontId="23" fillId="0" borderId="42" xfId="14" applyNumberFormat="1" applyFont="1" applyBorder="1" applyAlignment="1">
      <alignment vertical="center"/>
    </xf>
    <xf numFmtId="0" fontId="16" fillId="0" borderId="0" xfId="14" applyFont="1" applyAlignment="1">
      <alignment vertical="center"/>
    </xf>
    <xf numFmtId="3" fontId="23" fillId="0" borderId="51" xfId="14" applyNumberFormat="1" applyFont="1" applyBorder="1" applyAlignment="1">
      <alignment vertical="center"/>
    </xf>
    <xf numFmtId="166" fontId="23" fillId="0" borderId="50" xfId="15" applyNumberFormat="1" applyFont="1" applyBorder="1" applyAlignment="1">
      <alignment horizontal="right" vertical="center"/>
    </xf>
    <xf numFmtId="4" fontId="23" fillId="0" borderId="22" xfId="14" applyNumberFormat="1" applyFont="1" applyBorder="1" applyAlignment="1">
      <alignment vertical="center"/>
    </xf>
    <xf numFmtId="3" fontId="23" fillId="0" borderId="50" xfId="14" applyNumberFormat="1" applyFont="1" applyBorder="1" applyAlignment="1">
      <alignment vertical="center"/>
    </xf>
    <xf numFmtId="4" fontId="23" fillId="0" borderId="70" xfId="14" applyNumberFormat="1" applyFont="1" applyBorder="1" applyAlignment="1">
      <alignment horizontal="right" vertical="center"/>
    </xf>
    <xf numFmtId="3" fontId="23" fillId="0" borderId="0" xfId="14" applyNumberFormat="1" applyFont="1"/>
    <xf numFmtId="0" fontId="28" fillId="0" borderId="0" xfId="14" applyFont="1"/>
    <xf numFmtId="4" fontId="23" fillId="0" borderId="41" xfId="14" applyNumberFormat="1" applyFont="1" applyBorder="1" applyAlignment="1">
      <alignment vertical="center"/>
    </xf>
    <xf numFmtId="4" fontId="23" fillId="0" borderId="43" xfId="14" applyNumberFormat="1" applyFont="1" applyBorder="1" applyAlignment="1">
      <alignment vertical="center"/>
    </xf>
    <xf numFmtId="0" fontId="29" fillId="0" borderId="0" xfId="14" applyFont="1"/>
    <xf numFmtId="0" fontId="16" fillId="0" borderId="0" xfId="0" applyFont="1" applyAlignment="1">
      <alignment vertical="center"/>
    </xf>
    <xf numFmtId="0" fontId="13" fillId="0" borderId="0" xfId="14" applyFont="1" applyAlignment="1">
      <alignment vertical="center"/>
    </xf>
    <xf numFmtId="4" fontId="17" fillId="3" borderId="12" xfId="0" applyNumberFormat="1" applyFont="1" applyFill="1" applyBorder="1" applyAlignment="1">
      <alignment vertical="center"/>
    </xf>
    <xf numFmtId="4" fontId="17" fillId="3" borderId="11" xfId="0" applyNumberFormat="1" applyFont="1" applyFill="1" applyBorder="1" applyAlignment="1">
      <alignment vertical="center"/>
    </xf>
    <xf numFmtId="4" fontId="13" fillId="0" borderId="41" xfId="0" applyNumberFormat="1" applyFont="1" applyBorder="1"/>
    <xf numFmtId="0" fontId="13" fillId="0" borderId="47" xfId="0" applyFont="1" applyBorder="1"/>
    <xf numFmtId="0" fontId="13" fillId="0" borderId="58" xfId="0" applyFont="1" applyBorder="1" applyAlignment="1">
      <alignment vertical="center"/>
    </xf>
    <xf numFmtId="0" fontId="13" fillId="0" borderId="12" xfId="0" applyFont="1" applyBorder="1" applyAlignment="1">
      <alignment wrapText="1"/>
    </xf>
    <xf numFmtId="167" fontId="13" fillId="0" borderId="18" xfId="0" applyNumberFormat="1" applyFont="1" applyBorder="1" applyAlignment="1">
      <alignment wrapText="1"/>
    </xf>
    <xf numFmtId="165" fontId="13" fillId="0" borderId="18" xfId="0" applyNumberFormat="1" applyFont="1" applyBorder="1"/>
    <xf numFmtId="3" fontId="13" fillId="0" borderId="50" xfId="0" applyNumberFormat="1" applyFont="1" applyBorder="1"/>
    <xf numFmtId="3" fontId="13" fillId="0" borderId="8" xfId="0" applyNumberFormat="1" applyFont="1" applyBorder="1"/>
    <xf numFmtId="0" fontId="13" fillId="0" borderId="12" xfId="0" applyFont="1" applyBorder="1"/>
    <xf numFmtId="3" fontId="13" fillId="0" borderId="53" xfId="0" applyNumberFormat="1" applyFont="1" applyBorder="1" applyAlignment="1">
      <alignment horizontal="left" wrapText="1"/>
    </xf>
    <xf numFmtId="4" fontId="13" fillId="0" borderId="52" xfId="0" applyNumberFormat="1" applyFont="1" applyBorder="1"/>
    <xf numFmtId="3" fontId="13" fillId="0" borderId="67" xfId="0" applyNumberFormat="1" applyFont="1" applyBorder="1"/>
    <xf numFmtId="4" fontId="13" fillId="0" borderId="35" xfId="0" applyNumberFormat="1" applyFont="1" applyBorder="1"/>
    <xf numFmtId="4" fontId="13" fillId="0" borderId="8" xfId="14" applyNumberFormat="1" applyFont="1" applyBorder="1" applyAlignment="1">
      <alignment horizontal="right" vertical="center"/>
    </xf>
    <xf numFmtId="4" fontId="13" fillId="0" borderId="22" xfId="14" applyNumberFormat="1" applyFont="1" applyBorder="1" applyAlignment="1">
      <alignment horizontal="right" vertical="center"/>
    </xf>
    <xf numFmtId="4" fontId="13" fillId="0" borderId="41" xfId="14" applyNumberFormat="1" applyFont="1" applyBorder="1" applyAlignment="1">
      <alignment vertical="center"/>
    </xf>
    <xf numFmtId="0" fontId="13" fillId="0" borderId="0" xfId="14" applyFont="1" applyAlignment="1">
      <alignment horizontal="left"/>
    </xf>
    <xf numFmtId="3" fontId="17" fillId="0" borderId="0" xfId="14" applyNumberFormat="1" applyFont="1" applyAlignment="1">
      <alignment horizontal="right" vertical="center"/>
    </xf>
    <xf numFmtId="166" fontId="12" fillId="0" borderId="0" xfId="14" applyNumberFormat="1" applyFont="1" applyAlignment="1">
      <alignment horizontal="right" vertical="center" wrapText="1"/>
    </xf>
    <xf numFmtId="4" fontId="23" fillId="0" borderId="17" xfId="14" applyNumberFormat="1" applyFont="1" applyBorder="1" applyAlignment="1">
      <alignment vertical="center"/>
    </xf>
    <xf numFmtId="4" fontId="23" fillId="0" borderId="17" xfId="14" applyNumberFormat="1" applyFont="1" applyBorder="1" applyAlignment="1">
      <alignment horizontal="right" vertical="center"/>
    </xf>
    <xf numFmtId="166" fontId="13" fillId="0" borderId="0" xfId="20" applyNumberFormat="1" applyFont="1" applyAlignment="1">
      <alignment horizontal="right"/>
    </xf>
    <xf numFmtId="0" fontId="16" fillId="0" borderId="0" xfId="20" applyFont="1"/>
    <xf numFmtId="3" fontId="16" fillId="0" borderId="0" xfId="20" applyNumberFormat="1" applyFont="1"/>
    <xf numFmtId="4" fontId="16" fillId="0" borderId="0" xfId="20" applyNumberFormat="1" applyFont="1"/>
    <xf numFmtId="166" fontId="23" fillId="0" borderId="50" xfId="20" applyNumberFormat="1" applyFont="1" applyBorder="1" applyAlignment="1">
      <alignment horizontal="right" vertical="center"/>
    </xf>
    <xf numFmtId="4" fontId="23" fillId="0" borderId="71" xfId="14" applyNumberFormat="1" applyFont="1" applyBorder="1" applyAlignment="1">
      <alignment horizontal="right" vertical="center"/>
    </xf>
    <xf numFmtId="166" fontId="11" fillId="0" borderId="2" xfId="15" applyNumberFormat="1" applyFont="1" applyBorder="1" applyAlignment="1">
      <alignment horizontal="right" vertical="center"/>
    </xf>
    <xf numFmtId="167" fontId="13" fillId="0" borderId="54" xfId="0" applyNumberFormat="1" applyFont="1" applyBorder="1" applyAlignment="1">
      <alignment wrapText="1"/>
    </xf>
    <xf numFmtId="0" fontId="13" fillId="0" borderId="47" xfId="0" applyFont="1" applyBorder="1" applyAlignment="1">
      <alignment wrapText="1"/>
    </xf>
    <xf numFmtId="3" fontId="13" fillId="0" borderId="2" xfId="0" applyNumberFormat="1" applyFont="1" applyBorder="1"/>
    <xf numFmtId="3" fontId="13" fillId="0" borderId="41" xfId="0" applyNumberFormat="1" applyFont="1" applyBorder="1"/>
    <xf numFmtId="3" fontId="13" fillId="0" borderId="2" xfId="0" applyNumberFormat="1" applyFont="1" applyBorder="1" applyAlignment="1">
      <alignment wrapText="1"/>
    </xf>
    <xf numFmtId="4" fontId="13" fillId="0" borderId="8" xfId="0" applyNumberFormat="1" applyFont="1" applyBorder="1" applyAlignment="1">
      <alignment wrapText="1"/>
    </xf>
    <xf numFmtId="3" fontId="30" fillId="0" borderId="2" xfId="0" applyNumberFormat="1" applyFont="1" applyBorder="1"/>
    <xf numFmtId="4" fontId="30" fillId="0" borderId="8" xfId="0" applyNumberFormat="1" applyFont="1" applyBorder="1"/>
    <xf numFmtId="3" fontId="11" fillId="2" borderId="19" xfId="15" applyNumberFormat="1" applyFont="1" applyFill="1" applyBorder="1" applyAlignment="1">
      <alignment horizontal="center" vertical="center" wrapText="1"/>
    </xf>
    <xf numFmtId="4" fontId="11" fillId="2" borderId="20" xfId="15" applyNumberFormat="1" applyFont="1" applyFill="1" applyBorder="1" applyAlignment="1">
      <alignment horizontal="center" vertical="center" wrapText="1"/>
    </xf>
    <xf numFmtId="4" fontId="11" fillId="2" borderId="73" xfId="15" applyNumberFormat="1" applyFont="1" applyFill="1" applyBorder="1" applyAlignment="1">
      <alignment horizontal="center" vertical="center" wrapText="1"/>
    </xf>
    <xf numFmtId="10" fontId="11" fillId="0" borderId="0" xfId="0" applyNumberFormat="1" applyFont="1" applyAlignment="1">
      <alignment vertical="center"/>
    </xf>
    <xf numFmtId="4" fontId="17" fillId="3" borderId="18" xfId="0" applyNumberFormat="1" applyFont="1" applyFill="1" applyBorder="1" applyAlignment="1">
      <alignment vertical="center"/>
    </xf>
    <xf numFmtId="4" fontId="16" fillId="3" borderId="10" xfId="0" applyNumberFormat="1" applyFont="1" applyFill="1" applyBorder="1" applyAlignment="1">
      <alignment vertical="center"/>
    </xf>
    <xf numFmtId="4" fontId="11" fillId="0" borderId="0" xfId="14" applyNumberFormat="1" applyFont="1" applyAlignment="1">
      <alignment vertical="center"/>
    </xf>
    <xf numFmtId="166" fontId="11" fillId="0" borderId="0" xfId="14" applyNumberFormat="1" applyFont="1" applyAlignment="1">
      <alignment horizontal="right" vertical="center"/>
    </xf>
    <xf numFmtId="166" fontId="13" fillId="0" borderId="0" xfId="14" applyNumberFormat="1" applyFont="1" applyAlignment="1">
      <alignment horizontal="right" vertical="center"/>
    </xf>
    <xf numFmtId="166" fontId="13" fillId="0" borderId="0" xfId="20" applyNumberFormat="1" applyFont="1" applyAlignment="1">
      <alignment horizontal="right" vertical="center"/>
    </xf>
    <xf numFmtId="0" fontId="25" fillId="0" borderId="0" xfId="14" applyFont="1" applyAlignment="1">
      <alignment vertical="center"/>
    </xf>
    <xf numFmtId="0" fontId="16" fillId="0" borderId="0" xfId="20" applyFont="1" applyAlignment="1">
      <alignment vertical="center"/>
    </xf>
    <xf numFmtId="3" fontId="16" fillId="0" borderId="0" xfId="20" applyNumberFormat="1" applyFont="1" applyAlignment="1">
      <alignment vertical="center"/>
    </xf>
    <xf numFmtId="4" fontId="16" fillId="0" borderId="0" xfId="20" applyNumberFormat="1" applyFont="1" applyAlignment="1">
      <alignment vertical="center"/>
    </xf>
    <xf numFmtId="4" fontId="15" fillId="0" borderId="0" xfId="14" applyNumberFormat="1" applyFont="1" applyAlignment="1">
      <alignment vertical="center"/>
    </xf>
    <xf numFmtId="3" fontId="15" fillId="0" borderId="0" xfId="14" applyNumberFormat="1" applyFont="1" applyAlignment="1">
      <alignment vertical="center"/>
    </xf>
    <xf numFmtId="166" fontId="15" fillId="0" borderId="0" xfId="14" applyNumberFormat="1" applyFont="1" applyAlignment="1">
      <alignment horizontal="right" vertical="center"/>
    </xf>
    <xf numFmtId="0" fontId="13" fillId="0" borderId="0" xfId="14" applyFont="1" applyAlignment="1">
      <alignment horizontal="left" vertical="center"/>
    </xf>
    <xf numFmtId="0" fontId="30" fillId="0" borderId="0" xfId="14" applyFont="1" applyAlignment="1">
      <alignment vertical="center"/>
    </xf>
    <xf numFmtId="166" fontId="17" fillId="0" borderId="0" xfId="20" applyNumberFormat="1" applyFont="1" applyAlignment="1">
      <alignment horizontal="right" vertical="center"/>
    </xf>
    <xf numFmtId="4" fontId="13" fillId="0" borderId="50" xfId="0" applyNumberFormat="1" applyFont="1" applyBorder="1"/>
    <xf numFmtId="4" fontId="13" fillId="0" borderId="21" xfId="0" applyNumberFormat="1" applyFont="1" applyBorder="1"/>
    <xf numFmtId="4" fontId="13" fillId="0" borderId="22" xfId="0" applyNumberFormat="1" applyFont="1" applyBorder="1"/>
    <xf numFmtId="3" fontId="13" fillId="0" borderId="0" xfId="14" applyNumberFormat="1" applyFont="1" applyAlignment="1">
      <alignment vertical="center"/>
    </xf>
    <xf numFmtId="0" fontId="33" fillId="0" borderId="0" xfId="0" applyFont="1"/>
    <xf numFmtId="0" fontId="14" fillId="0" borderId="0" xfId="0" applyFont="1" applyAlignment="1">
      <alignment horizontal="left"/>
    </xf>
    <xf numFmtId="4" fontId="13" fillId="0" borderId="0" xfId="14" applyNumberFormat="1" applyFont="1"/>
    <xf numFmtId="3" fontId="13" fillId="0" borderId="0" xfId="14" applyNumberFormat="1" applyFont="1"/>
    <xf numFmtId="4" fontId="30" fillId="0" borderId="50" xfId="0" applyNumberFormat="1" applyFont="1" applyBorder="1"/>
    <xf numFmtId="4" fontId="13" fillId="0" borderId="0" xfId="14" applyNumberFormat="1" applyFont="1" applyAlignment="1">
      <alignment horizontal="right"/>
    </xf>
    <xf numFmtId="4" fontId="13" fillId="0" borderId="0" xfId="14" applyNumberFormat="1" applyFont="1" applyAlignment="1">
      <alignment vertical="center"/>
    </xf>
    <xf numFmtId="4" fontId="13" fillId="0" borderId="0" xfId="14" applyNumberFormat="1" applyFont="1" applyAlignment="1">
      <alignment horizontal="right" vertical="center"/>
    </xf>
    <xf numFmtId="165" fontId="13" fillId="0" borderId="25" xfId="0" applyNumberFormat="1" applyFont="1" applyBorder="1" applyAlignment="1">
      <alignment horizontal="right" vertical="center"/>
    </xf>
    <xf numFmtId="0" fontId="11" fillId="0" borderId="0" xfId="0" applyFont="1" applyAlignment="1">
      <alignment vertical="center" wrapText="1"/>
    </xf>
    <xf numFmtId="165" fontId="13" fillId="0" borderId="0" xfId="0" applyNumberFormat="1" applyFont="1" applyAlignment="1">
      <alignment horizontal="right" vertical="center"/>
    </xf>
    <xf numFmtId="4" fontId="17" fillId="3" borderId="61" xfId="0" applyNumberFormat="1" applyFont="1" applyFill="1" applyBorder="1" applyAlignment="1">
      <alignment vertical="center"/>
    </xf>
    <xf numFmtId="3" fontId="13" fillId="6" borderId="31" xfId="15" applyNumberFormat="1" applyFont="1" applyFill="1" applyBorder="1" applyAlignment="1">
      <alignment horizontal="center" vertical="center" wrapText="1"/>
    </xf>
    <xf numFmtId="4" fontId="13" fillId="6" borderId="44" xfId="15" applyNumberFormat="1" applyFont="1" applyFill="1" applyBorder="1" applyAlignment="1">
      <alignment horizontal="center" vertical="center" wrapText="1"/>
    </xf>
    <xf numFmtId="0" fontId="23" fillId="0" borderId="8" xfId="14" applyFont="1" applyBorder="1" applyAlignment="1">
      <alignment vertical="center"/>
    </xf>
    <xf numFmtId="0" fontId="11" fillId="6" borderId="5" xfId="14" applyFont="1" applyFill="1" applyBorder="1" applyAlignment="1">
      <alignment horizontal="center" vertical="center"/>
    </xf>
    <xf numFmtId="3" fontId="16" fillId="6" borderId="5" xfId="14" applyNumberFormat="1" applyFont="1" applyFill="1" applyBorder="1" applyAlignment="1">
      <alignment vertical="center"/>
    </xf>
    <xf numFmtId="4" fontId="16" fillId="6" borderId="48" xfId="14" applyNumberFormat="1" applyFont="1" applyFill="1" applyBorder="1" applyAlignment="1">
      <alignment vertical="center"/>
    </xf>
    <xf numFmtId="4" fontId="16" fillId="6" borderId="6" xfId="14" applyNumberFormat="1" applyFont="1" applyFill="1" applyBorder="1" applyAlignment="1">
      <alignment vertical="center"/>
    </xf>
    <xf numFmtId="166" fontId="16" fillId="6" borderId="5" xfId="15" applyNumberFormat="1" applyFont="1" applyFill="1" applyBorder="1" applyAlignment="1">
      <alignment horizontal="right" vertical="center"/>
    </xf>
    <xf numFmtId="166" fontId="16" fillId="6" borderId="16" xfId="14" applyNumberFormat="1" applyFont="1" applyFill="1" applyBorder="1" applyAlignment="1">
      <alignment horizontal="right" vertical="center" wrapText="1"/>
    </xf>
    <xf numFmtId="0" fontId="16" fillId="6" borderId="5" xfId="14" applyFont="1" applyFill="1" applyBorder="1" applyAlignment="1">
      <alignment vertical="center"/>
    </xf>
    <xf numFmtId="3" fontId="16" fillId="6" borderId="5" xfId="14" applyNumberFormat="1" applyFont="1" applyFill="1" applyBorder="1"/>
    <xf numFmtId="166" fontId="16" fillId="6" borderId="5" xfId="15" applyNumberFormat="1" applyFont="1" applyFill="1" applyBorder="1" applyAlignment="1">
      <alignment horizontal="right"/>
    </xf>
    <xf numFmtId="166" fontId="16" fillId="6" borderId="16" xfId="14" applyNumberFormat="1" applyFont="1" applyFill="1" applyBorder="1" applyAlignment="1">
      <alignment horizontal="right" wrapText="1"/>
    </xf>
    <xf numFmtId="0" fontId="16" fillId="6" borderId="5" xfId="14" applyFont="1" applyFill="1" applyBorder="1"/>
    <xf numFmtId="3" fontId="16" fillId="6" borderId="48" xfId="14" applyNumberFormat="1" applyFont="1" applyFill="1" applyBorder="1" applyAlignment="1">
      <alignment vertical="center"/>
    </xf>
    <xf numFmtId="166" fontId="16" fillId="6" borderId="48" xfId="15" applyNumberFormat="1" applyFont="1" applyFill="1" applyBorder="1" applyAlignment="1">
      <alignment horizontal="right" vertical="center"/>
    </xf>
    <xf numFmtId="4" fontId="16" fillId="6" borderId="16" xfId="14" applyNumberFormat="1" applyFont="1" applyFill="1" applyBorder="1" applyAlignment="1">
      <alignment vertical="center"/>
    </xf>
    <xf numFmtId="4" fontId="16" fillId="6" borderId="24" xfId="14" applyNumberFormat="1" applyFont="1" applyFill="1" applyBorder="1" applyAlignment="1">
      <alignment vertical="center"/>
    </xf>
    <xf numFmtId="166" fontId="16" fillId="6" borderId="24" xfId="14" applyNumberFormat="1" applyFont="1" applyFill="1" applyBorder="1" applyAlignment="1">
      <alignment horizontal="right" vertical="center" wrapText="1"/>
    </xf>
    <xf numFmtId="0" fontId="16" fillId="6" borderId="16" xfId="14" applyFont="1" applyFill="1" applyBorder="1" applyAlignment="1">
      <alignment vertical="center"/>
    </xf>
    <xf numFmtId="4" fontId="16" fillId="6" borderId="6" xfId="14" applyNumberFormat="1" applyFont="1" applyFill="1" applyBorder="1" applyAlignment="1">
      <alignment horizontal="right" vertical="center"/>
    </xf>
    <xf numFmtId="4" fontId="16" fillId="6" borderId="65" xfId="14" applyNumberFormat="1" applyFont="1" applyFill="1" applyBorder="1" applyAlignment="1">
      <alignment horizontal="right" vertical="center"/>
    </xf>
    <xf numFmtId="0" fontId="23" fillId="0" borderId="26" xfId="14" applyFont="1" applyBorder="1" applyAlignment="1">
      <alignment vertical="center" wrapText="1"/>
    </xf>
    <xf numFmtId="166" fontId="16" fillId="6" borderId="48" xfId="20" applyNumberFormat="1" applyFont="1" applyFill="1" applyBorder="1" applyAlignment="1">
      <alignment horizontal="right" vertical="center"/>
    </xf>
    <xf numFmtId="0" fontId="16" fillId="6" borderId="16" xfId="14" applyFont="1" applyFill="1" applyBorder="1"/>
    <xf numFmtId="4" fontId="16" fillId="6" borderId="24" xfId="14" applyNumberFormat="1" applyFont="1" applyFill="1" applyBorder="1"/>
    <xf numFmtId="4" fontId="16" fillId="6" borderId="48" xfId="14" applyNumberFormat="1" applyFont="1" applyFill="1" applyBorder="1"/>
    <xf numFmtId="0" fontId="16" fillId="6" borderId="5" xfId="14" applyFont="1" applyFill="1" applyBorder="1" applyAlignment="1">
      <alignment horizontal="center" vertical="center"/>
    </xf>
    <xf numFmtId="3" fontId="16" fillId="6" borderId="6" xfId="0" applyNumberFormat="1" applyFont="1" applyFill="1" applyBorder="1"/>
    <xf numFmtId="3" fontId="17" fillId="3" borderId="21" xfId="0" applyNumberFormat="1" applyFont="1" applyFill="1" applyBorder="1"/>
    <xf numFmtId="3" fontId="17" fillId="3" borderId="22" xfId="0" applyNumberFormat="1" applyFont="1" applyFill="1" applyBorder="1"/>
    <xf numFmtId="0" fontId="16" fillId="6" borderId="56" xfId="0" applyFont="1" applyFill="1" applyBorder="1" applyAlignment="1">
      <alignment vertical="center" wrapText="1"/>
    </xf>
    <xf numFmtId="4" fontId="16" fillId="6" borderId="5" xfId="0" applyNumberFormat="1" applyFont="1" applyFill="1" applyBorder="1" applyAlignment="1">
      <alignment vertical="center"/>
    </xf>
    <xf numFmtId="4" fontId="16" fillId="6" borderId="16" xfId="0" applyNumberFormat="1" applyFont="1" applyFill="1" applyBorder="1" applyAlignment="1">
      <alignment vertical="center"/>
    </xf>
    <xf numFmtId="4" fontId="16" fillId="6" borderId="6" xfId="0" applyNumberFormat="1" applyFont="1" applyFill="1" applyBorder="1" applyAlignment="1">
      <alignment vertical="center"/>
    </xf>
    <xf numFmtId="165" fontId="13" fillId="6" borderId="10" xfId="0" applyNumberFormat="1" applyFont="1" applyFill="1" applyBorder="1" applyAlignment="1">
      <alignment horizontal="right" vertical="center"/>
    </xf>
    <xf numFmtId="3" fontId="17" fillId="3" borderId="11" xfId="0" applyNumberFormat="1" applyFont="1" applyFill="1" applyBorder="1" applyAlignment="1">
      <alignment vertical="center"/>
    </xf>
    <xf numFmtId="3" fontId="16" fillId="3" borderId="10" xfId="0" applyNumberFormat="1" applyFont="1" applyFill="1" applyBorder="1" applyAlignment="1">
      <alignment vertical="center"/>
    </xf>
    <xf numFmtId="4" fontId="13" fillId="0" borderId="0" xfId="0" applyNumberFormat="1" applyFont="1" applyAlignment="1">
      <alignment vertical="center"/>
    </xf>
    <xf numFmtId="0" fontId="13" fillId="7" borderId="47" xfId="0" applyFont="1" applyFill="1" applyBorder="1" applyAlignment="1">
      <alignment vertical="center" wrapText="1"/>
    </xf>
    <xf numFmtId="4" fontId="13" fillId="7" borderId="2" xfId="0" applyNumberFormat="1" applyFont="1" applyFill="1" applyBorder="1" applyAlignment="1">
      <alignment vertical="center"/>
    </xf>
    <xf numFmtId="4" fontId="13" fillId="7" borderId="41" xfId="0" applyNumberFormat="1" applyFont="1" applyFill="1" applyBorder="1" applyAlignment="1">
      <alignment vertical="center"/>
    </xf>
    <xf numFmtId="4" fontId="13" fillId="7" borderId="8" xfId="0" applyNumberFormat="1" applyFont="1" applyFill="1" applyBorder="1" applyAlignment="1">
      <alignment vertical="center"/>
    </xf>
    <xf numFmtId="0" fontId="13" fillId="7" borderId="33" xfId="0" applyFont="1" applyFill="1" applyBorder="1" applyAlignment="1">
      <alignment vertical="center" wrapText="1"/>
    </xf>
    <xf numFmtId="4" fontId="13" fillId="7" borderId="31" xfId="0" applyNumberFormat="1" applyFont="1" applyFill="1" applyBorder="1" applyAlignment="1">
      <alignment vertical="center"/>
    </xf>
    <xf numFmtId="4" fontId="13" fillId="7" borderId="44" xfId="0" applyNumberFormat="1" applyFont="1" applyFill="1" applyBorder="1" applyAlignment="1">
      <alignment vertical="center"/>
    </xf>
    <xf numFmtId="4" fontId="13" fillId="7" borderId="30" xfId="0" applyNumberFormat="1" applyFont="1" applyFill="1" applyBorder="1" applyAlignment="1">
      <alignment vertical="center"/>
    </xf>
    <xf numFmtId="165" fontId="13" fillId="7" borderId="22" xfId="0" applyNumberFormat="1" applyFont="1" applyFill="1" applyBorder="1" applyAlignment="1">
      <alignment horizontal="right" vertical="center"/>
    </xf>
    <xf numFmtId="0" fontId="13" fillId="7" borderId="59" xfId="0" applyFont="1" applyFill="1" applyBorder="1" applyAlignment="1">
      <alignment vertical="center" wrapText="1"/>
    </xf>
    <xf numFmtId="4" fontId="13" fillId="7" borderId="3" xfId="0" applyNumberFormat="1" applyFont="1" applyFill="1" applyBorder="1" applyAlignment="1">
      <alignment vertical="center"/>
    </xf>
    <xf numFmtId="4" fontId="13" fillId="7" borderId="43" xfId="0" applyNumberFormat="1" applyFont="1" applyFill="1" applyBorder="1" applyAlignment="1">
      <alignment vertical="center"/>
    </xf>
    <xf numFmtId="4" fontId="13" fillId="7" borderId="9" xfId="0" applyNumberFormat="1" applyFont="1" applyFill="1" applyBorder="1" applyAlignment="1">
      <alignment vertical="center"/>
    </xf>
    <xf numFmtId="0" fontId="16" fillId="6" borderId="5" xfId="0" applyFont="1" applyFill="1" applyBorder="1" applyAlignment="1">
      <alignment horizontal="center" vertical="center"/>
    </xf>
    <xf numFmtId="3" fontId="16" fillId="6" borderId="6" xfId="1" applyNumberFormat="1" applyFont="1" applyFill="1" applyBorder="1" applyAlignment="1">
      <alignment horizontal="center" vertical="center" wrapText="1"/>
    </xf>
    <xf numFmtId="3" fontId="16" fillId="3" borderId="10" xfId="1" applyNumberFormat="1" applyFont="1" applyFill="1" applyBorder="1" applyAlignment="1">
      <alignment horizontal="center" vertical="center" wrapText="1"/>
    </xf>
    <xf numFmtId="0" fontId="13" fillId="8" borderId="47" xfId="0" applyFont="1" applyFill="1" applyBorder="1" applyAlignment="1">
      <alignment vertical="center" wrapText="1"/>
    </xf>
    <xf numFmtId="4" fontId="13" fillId="8" borderId="2" xfId="0" applyNumberFormat="1" applyFont="1" applyFill="1" applyBorder="1" applyAlignment="1">
      <alignment vertical="center"/>
    </xf>
    <xf numFmtId="4" fontId="13" fillId="8" borderId="41" xfId="0" applyNumberFormat="1" applyFont="1" applyFill="1" applyBorder="1" applyAlignment="1">
      <alignment vertical="center"/>
    </xf>
    <xf numFmtId="4" fontId="13" fillId="8" borderId="8" xfId="0" applyNumberFormat="1" applyFont="1" applyFill="1" applyBorder="1" applyAlignment="1">
      <alignment vertical="center"/>
    </xf>
    <xf numFmtId="0" fontId="13" fillId="8" borderId="59" xfId="0" applyFont="1" applyFill="1" applyBorder="1" applyAlignment="1">
      <alignment vertical="center" wrapText="1"/>
    </xf>
    <xf numFmtId="4" fontId="13" fillId="8" borderId="3" xfId="0" applyNumberFormat="1" applyFont="1" applyFill="1" applyBorder="1" applyAlignment="1">
      <alignment vertical="center"/>
    </xf>
    <xf numFmtId="4" fontId="13" fillId="8" borderId="43" xfId="0" applyNumberFormat="1" applyFont="1" applyFill="1" applyBorder="1" applyAlignment="1">
      <alignment vertical="center"/>
    </xf>
    <xf numFmtId="4" fontId="13" fillId="8" borderId="9" xfId="0" applyNumberFormat="1" applyFont="1" applyFill="1" applyBorder="1" applyAlignment="1">
      <alignment vertical="center"/>
    </xf>
    <xf numFmtId="165" fontId="13" fillId="8" borderId="12" xfId="0" applyNumberFormat="1" applyFont="1" applyFill="1" applyBorder="1" applyAlignment="1">
      <alignment horizontal="right" vertical="center"/>
    </xf>
    <xf numFmtId="165" fontId="13" fillId="8" borderId="22" xfId="0" applyNumberFormat="1" applyFont="1" applyFill="1" applyBorder="1" applyAlignment="1">
      <alignment horizontal="right" vertical="center"/>
    </xf>
    <xf numFmtId="168" fontId="11" fillId="0" borderId="0" xfId="0" applyNumberFormat="1" applyFont="1"/>
    <xf numFmtId="0" fontId="13" fillId="0" borderId="54" xfId="0" applyFont="1" applyBorder="1" applyAlignment="1">
      <alignment vertical="center"/>
    </xf>
    <xf numFmtId="0" fontId="13" fillId="0" borderId="21" xfId="0" applyFont="1" applyBorder="1" applyAlignment="1">
      <alignment vertical="center" wrapText="1"/>
    </xf>
    <xf numFmtId="3" fontId="13" fillId="0" borderId="13" xfId="0" applyNumberFormat="1" applyFont="1" applyBorder="1" applyAlignment="1">
      <alignment vertical="center"/>
    </xf>
    <xf numFmtId="4" fontId="13" fillId="0" borderId="42" xfId="0" applyNumberFormat="1" applyFont="1" applyBorder="1" applyAlignment="1">
      <alignment vertical="center"/>
    </xf>
    <xf numFmtId="0" fontId="23" fillId="0" borderId="25" xfId="0" applyFont="1" applyBorder="1" applyAlignment="1">
      <alignment vertical="center" wrapText="1"/>
    </xf>
    <xf numFmtId="4" fontId="23" fillId="0" borderId="42" xfId="0" applyNumberFormat="1" applyFont="1" applyBorder="1" applyAlignment="1">
      <alignment horizontal="right" vertical="center"/>
    </xf>
    <xf numFmtId="3" fontId="23" fillId="0" borderId="13" xfId="0" applyNumberFormat="1" applyFont="1" applyBorder="1" applyAlignment="1">
      <alignment vertical="center"/>
    </xf>
    <xf numFmtId="4" fontId="23" fillId="0" borderId="42" xfId="0" applyNumberFormat="1" applyFont="1" applyBorder="1" applyAlignment="1">
      <alignment vertical="center"/>
    </xf>
    <xf numFmtId="0" fontId="13" fillId="0" borderId="25" xfId="0" applyFont="1" applyBorder="1" applyAlignment="1">
      <alignment vertical="center" wrapText="1"/>
    </xf>
    <xf numFmtId="4" fontId="13" fillId="0" borderId="15" xfId="0" applyNumberFormat="1" applyFont="1" applyBorder="1" applyAlignment="1">
      <alignment vertical="center"/>
    </xf>
    <xf numFmtId="3" fontId="13" fillId="0" borderId="2" xfId="0" applyNumberFormat="1" applyFont="1" applyBorder="1" applyAlignment="1">
      <alignment vertical="center"/>
    </xf>
    <xf numFmtId="4" fontId="13" fillId="0" borderId="41" xfId="0" applyNumberFormat="1" applyFont="1" applyBorder="1" applyAlignment="1">
      <alignment vertical="center"/>
    </xf>
    <xf numFmtId="4" fontId="13" fillId="0" borderId="50" xfId="0" applyNumberFormat="1" applyFont="1" applyBorder="1" applyAlignment="1">
      <alignment vertical="center"/>
    </xf>
    <xf numFmtId="3" fontId="13" fillId="0" borderId="3" xfId="0" applyNumberFormat="1" applyFont="1" applyBorder="1" applyAlignment="1">
      <alignment vertical="center"/>
    </xf>
    <xf numFmtId="4" fontId="13" fillId="0" borderId="43" xfId="0" applyNumberFormat="1" applyFont="1" applyBorder="1" applyAlignment="1">
      <alignment vertical="center"/>
    </xf>
    <xf numFmtId="3" fontId="17" fillId="9" borderId="30" xfId="15" applyNumberFormat="1" applyFont="1" applyFill="1" applyBorder="1" applyAlignment="1">
      <alignment horizontal="center" vertical="center" wrapText="1"/>
    </xf>
    <xf numFmtId="3" fontId="17" fillId="10" borderId="31" xfId="15" applyNumberFormat="1" applyFont="1" applyFill="1" applyBorder="1" applyAlignment="1">
      <alignment horizontal="center" vertical="center" wrapText="1"/>
    </xf>
    <xf numFmtId="3" fontId="17" fillId="11" borderId="44" xfId="15" applyNumberFormat="1" applyFont="1" applyFill="1" applyBorder="1" applyAlignment="1">
      <alignment horizontal="center" vertical="center" wrapText="1"/>
    </xf>
    <xf numFmtId="3" fontId="17" fillId="3" borderId="39" xfId="1" applyNumberFormat="1" applyFont="1" applyFill="1" applyBorder="1" applyAlignment="1">
      <alignment horizontal="center" vertical="center" wrapText="1"/>
    </xf>
    <xf numFmtId="165" fontId="11" fillId="0" borderId="0" xfId="0" applyNumberFormat="1" applyFont="1" applyAlignment="1">
      <alignment horizontal="right"/>
    </xf>
    <xf numFmtId="3" fontId="16" fillId="6" borderId="5" xfId="0" applyNumberFormat="1" applyFont="1" applyFill="1" applyBorder="1"/>
    <xf numFmtId="3" fontId="13" fillId="6" borderId="31" xfId="1" applyNumberFormat="1" applyFont="1" applyFill="1" applyBorder="1" applyAlignment="1">
      <alignment horizontal="center" vertical="center" wrapText="1"/>
    </xf>
    <xf numFmtId="4" fontId="13" fillId="6" borderId="30" xfId="1" applyNumberFormat="1" applyFont="1" applyFill="1" applyBorder="1" applyAlignment="1">
      <alignment horizontal="center" vertical="center" wrapText="1"/>
    </xf>
    <xf numFmtId="4" fontId="13" fillId="6" borderId="68" xfId="1" applyNumberFormat="1" applyFont="1" applyFill="1" applyBorder="1" applyAlignment="1">
      <alignment horizontal="center" vertical="center" wrapText="1"/>
    </xf>
    <xf numFmtId="4" fontId="11" fillId="0" borderId="0" xfId="14" applyNumberFormat="1" applyFont="1" applyAlignment="1">
      <alignment horizontal="left" wrapText="1"/>
    </xf>
    <xf numFmtId="4" fontId="16" fillId="0" borderId="0" xfId="14" applyNumberFormat="1" applyFont="1"/>
    <xf numFmtId="3" fontId="12" fillId="0" borderId="0" xfId="15" applyNumberFormat="1" applyFont="1"/>
    <xf numFmtId="4" fontId="12" fillId="0" borderId="0" xfId="15" applyNumberFormat="1" applyFont="1"/>
    <xf numFmtId="0" fontId="16" fillId="0" borderId="10" xfId="0" applyFont="1" applyBorder="1" applyAlignment="1">
      <alignment vertical="center" wrapText="1"/>
    </xf>
    <xf numFmtId="3" fontId="16" fillId="0" borderId="5" xfId="0" applyNumberFormat="1" applyFont="1" applyBorder="1" applyAlignment="1">
      <alignment vertical="center"/>
    </xf>
    <xf numFmtId="4" fontId="16" fillId="0" borderId="16" xfId="0" applyNumberFormat="1" applyFont="1" applyBorder="1" applyAlignment="1">
      <alignment vertical="center"/>
    </xf>
    <xf numFmtId="3" fontId="16" fillId="0" borderId="48" xfId="0" applyNumberFormat="1" applyFont="1" applyBorder="1" applyAlignment="1">
      <alignment vertical="center"/>
    </xf>
    <xf numFmtId="4" fontId="16" fillId="0" borderId="6" xfId="0" applyNumberFormat="1" applyFont="1" applyBorder="1" applyAlignment="1">
      <alignment vertical="center"/>
    </xf>
    <xf numFmtId="4" fontId="16" fillId="0" borderId="36" xfId="0" applyNumberFormat="1" applyFont="1" applyBorder="1" applyAlignment="1">
      <alignment vertical="center"/>
    </xf>
    <xf numFmtId="165" fontId="16" fillId="0" borderId="10" xfId="0" applyNumberFormat="1" applyFont="1" applyBorder="1" applyAlignment="1">
      <alignment vertical="center"/>
    </xf>
    <xf numFmtId="0" fontId="13" fillId="0" borderId="58" xfId="1" applyFont="1" applyBorder="1" applyAlignment="1">
      <alignment vertical="center"/>
    </xf>
    <xf numFmtId="165" fontId="13" fillId="0" borderId="25" xfId="1" applyNumberFormat="1" applyFont="1" applyBorder="1" applyAlignment="1">
      <alignment vertical="center"/>
    </xf>
    <xf numFmtId="0" fontId="13" fillId="0" borderId="47" xfId="1" applyFont="1" applyBorder="1" applyAlignment="1">
      <alignment vertical="center"/>
    </xf>
    <xf numFmtId="4" fontId="13" fillId="0" borderId="2" xfId="1" applyNumberFormat="1" applyFont="1" applyBorder="1" applyAlignment="1">
      <alignment vertical="center"/>
    </xf>
    <xf numFmtId="4" fontId="13" fillId="0" borderId="41" xfId="1" applyNumberFormat="1" applyFont="1" applyBorder="1" applyAlignment="1">
      <alignment vertical="center"/>
    </xf>
    <xf numFmtId="4" fontId="13" fillId="0" borderId="50" xfId="1" applyNumberFormat="1" applyFont="1" applyBorder="1" applyAlignment="1">
      <alignment vertical="center"/>
    </xf>
    <xf numFmtId="4" fontId="13" fillId="0" borderId="8" xfId="1" applyNumberFormat="1" applyFont="1" applyBorder="1" applyAlignment="1">
      <alignment vertical="center"/>
    </xf>
    <xf numFmtId="4" fontId="17" fillId="3" borderId="12" xfId="1" applyNumberFormat="1" applyFont="1" applyFill="1" applyBorder="1" applyAlignment="1">
      <alignment vertical="center"/>
    </xf>
    <xf numFmtId="165" fontId="13" fillId="0" borderId="22" xfId="1" applyNumberFormat="1" applyFont="1" applyBorder="1" applyAlignment="1">
      <alignment vertical="center"/>
    </xf>
    <xf numFmtId="0" fontId="16" fillId="0" borderId="47" xfId="1" applyFont="1" applyBorder="1" applyAlignment="1">
      <alignment vertical="center"/>
    </xf>
    <xf numFmtId="4" fontId="16" fillId="0" borderId="2" xfId="1" applyNumberFormat="1" applyFont="1" applyBorder="1" applyAlignment="1">
      <alignment vertical="center"/>
    </xf>
    <xf numFmtId="4" fontId="16" fillId="0" borderId="41" xfId="1" applyNumberFormat="1" applyFont="1" applyBorder="1" applyAlignment="1">
      <alignment vertical="center"/>
    </xf>
    <xf numFmtId="4" fontId="16" fillId="0" borderId="50" xfId="1" applyNumberFormat="1" applyFont="1" applyBorder="1" applyAlignment="1">
      <alignment vertical="center"/>
    </xf>
    <xf numFmtId="4" fontId="16" fillId="0" borderId="17" xfId="1" applyNumberFormat="1" applyFont="1" applyBorder="1" applyAlignment="1">
      <alignment vertical="center"/>
    </xf>
    <xf numFmtId="4" fontId="16" fillId="3" borderId="12" xfId="1" applyNumberFormat="1" applyFont="1" applyFill="1" applyBorder="1" applyAlignment="1">
      <alignment vertical="center"/>
    </xf>
    <xf numFmtId="165" fontId="16" fillId="0" borderId="22" xfId="1" applyNumberFormat="1" applyFont="1" applyBorder="1" applyAlignment="1">
      <alignment vertical="center"/>
    </xf>
    <xf numFmtId="4" fontId="13" fillId="0" borderId="17" xfId="1" applyNumberFormat="1" applyFont="1" applyBorder="1" applyAlignment="1">
      <alignment vertical="center"/>
    </xf>
    <xf numFmtId="0" fontId="16" fillId="0" borderId="47" xfId="1" applyFont="1" applyBorder="1" applyAlignment="1">
      <alignment vertical="center" wrapText="1"/>
    </xf>
    <xf numFmtId="0" fontId="13" fillId="0" borderId="47" xfId="1" applyFont="1" applyBorder="1" applyAlignment="1">
      <alignment vertical="center" wrapText="1"/>
    </xf>
    <xf numFmtId="0" fontId="16" fillId="0" borderId="60" xfId="1" applyFont="1" applyBorder="1" applyAlignment="1">
      <alignment vertical="center" wrapText="1"/>
    </xf>
    <xf numFmtId="4" fontId="16" fillId="0" borderId="4" xfId="1" applyNumberFormat="1" applyFont="1" applyBorder="1" applyAlignment="1">
      <alignment vertical="center"/>
    </xf>
    <xf numFmtId="4" fontId="16" fillId="0" borderId="57" xfId="1" applyNumberFormat="1" applyFont="1" applyBorder="1" applyAlignment="1">
      <alignment vertical="center"/>
    </xf>
    <xf numFmtId="4" fontId="16" fillId="0" borderId="72" xfId="1" applyNumberFormat="1" applyFont="1" applyBorder="1" applyAlignment="1">
      <alignment vertical="center"/>
    </xf>
    <xf numFmtId="4" fontId="16" fillId="0" borderId="80" xfId="1" applyNumberFormat="1" applyFont="1" applyBorder="1" applyAlignment="1">
      <alignment vertical="center"/>
    </xf>
    <xf numFmtId="4" fontId="16" fillId="3" borderId="28" xfId="1" applyNumberFormat="1" applyFont="1" applyFill="1" applyBorder="1" applyAlignment="1">
      <alignment vertical="center"/>
    </xf>
    <xf numFmtId="165" fontId="16" fillId="0" borderId="27" xfId="1" applyNumberFormat="1" applyFont="1" applyBorder="1" applyAlignment="1">
      <alignment vertical="center"/>
    </xf>
    <xf numFmtId="0" fontId="16" fillId="0" borderId="56" xfId="1" applyFont="1" applyBorder="1" applyAlignment="1">
      <alignment vertical="center" wrapText="1"/>
    </xf>
    <xf numFmtId="4" fontId="16" fillId="0" borderId="5" xfId="1" applyNumberFormat="1" applyFont="1" applyBorder="1" applyAlignment="1">
      <alignment vertical="center"/>
    </xf>
    <xf numFmtId="4" fontId="16" fillId="0" borderId="36" xfId="1" applyNumberFormat="1" applyFont="1" applyBorder="1" applyAlignment="1">
      <alignment vertical="center"/>
    </xf>
    <xf numFmtId="4" fontId="16" fillId="3" borderId="10" xfId="1" applyNumberFormat="1" applyFont="1" applyFill="1" applyBorder="1" applyAlignment="1">
      <alignment vertical="center"/>
    </xf>
    <xf numFmtId="165" fontId="16" fillId="0" borderId="24" xfId="1" applyNumberFormat="1" applyFont="1" applyBorder="1" applyAlignment="1">
      <alignment horizontal="right" vertical="center"/>
    </xf>
    <xf numFmtId="49" fontId="13" fillId="0" borderId="2" xfId="2" applyNumberFormat="1" applyFont="1" applyBorder="1" applyAlignment="1">
      <alignment horizontal="center" vertical="center"/>
    </xf>
    <xf numFmtId="0" fontId="13" fillId="0" borderId="17" xfId="2" applyFont="1" applyBorder="1" applyAlignment="1">
      <alignment vertical="center" wrapText="1"/>
    </xf>
    <xf numFmtId="3" fontId="13" fillId="0" borderId="2" xfId="2" applyNumberFormat="1" applyFont="1" applyBorder="1" applyAlignment="1">
      <alignment vertical="center"/>
    </xf>
    <xf numFmtId="4" fontId="13" fillId="0" borderId="41" xfId="2" applyNumberFormat="1" applyFont="1" applyBorder="1" applyAlignment="1">
      <alignment vertical="center"/>
    </xf>
    <xf numFmtId="4" fontId="13" fillId="0" borderId="8" xfId="2" applyNumberFormat="1" applyFont="1" applyBorder="1" applyAlignment="1">
      <alignment vertical="center"/>
    </xf>
    <xf numFmtId="166" fontId="13" fillId="0" borderId="22" xfId="0" applyNumberFormat="1" applyFont="1" applyBorder="1" applyAlignment="1">
      <alignment horizontal="right" vertical="center"/>
    </xf>
    <xf numFmtId="0" fontId="13" fillId="0" borderId="41" xfId="0" applyFont="1" applyBorder="1" applyAlignment="1">
      <alignment vertical="center"/>
    </xf>
    <xf numFmtId="49" fontId="13" fillId="0" borderId="4" xfId="2" applyNumberFormat="1" applyFont="1" applyBorder="1" applyAlignment="1">
      <alignment horizontal="center" vertical="center"/>
    </xf>
    <xf numFmtId="0" fontId="13" fillId="0" borderId="80" xfId="2" applyFont="1" applyBorder="1" applyAlignment="1">
      <alignment vertical="center" wrapText="1"/>
    </xf>
    <xf numFmtId="3" fontId="13" fillId="0" borderId="4" xfId="2" applyNumberFormat="1" applyFont="1" applyBorder="1" applyAlignment="1">
      <alignment vertical="center"/>
    </xf>
    <xf numFmtId="4" fontId="13" fillId="0" borderId="57" xfId="2" applyNumberFormat="1" applyFont="1" applyBorder="1" applyAlignment="1">
      <alignment vertical="center"/>
    </xf>
    <xf numFmtId="4" fontId="13" fillId="0" borderId="29" xfId="2" applyNumberFormat="1" applyFont="1" applyBorder="1" applyAlignment="1">
      <alignment vertical="center"/>
    </xf>
    <xf numFmtId="0" fontId="16" fillId="0" borderId="5" xfId="0" applyFont="1" applyBorder="1" applyAlignment="1">
      <alignment vertical="center"/>
    </xf>
    <xf numFmtId="0" fontId="16" fillId="0" borderId="36" xfId="0" applyFont="1" applyBorder="1" applyAlignment="1">
      <alignment vertical="center" wrapText="1"/>
    </xf>
    <xf numFmtId="166" fontId="16" fillId="0" borderId="24" xfId="0" applyNumberFormat="1" applyFont="1" applyBorder="1" applyAlignment="1">
      <alignment vertical="center"/>
    </xf>
    <xf numFmtId="3" fontId="11" fillId="0" borderId="0" xfId="0" applyNumberFormat="1" applyFont="1" applyAlignment="1">
      <alignment vertical="center"/>
    </xf>
    <xf numFmtId="4" fontId="11" fillId="0" borderId="0" xfId="0" applyNumberFormat="1" applyFont="1" applyAlignment="1">
      <alignment vertical="center"/>
    </xf>
    <xf numFmtId="166" fontId="11" fillId="0" borderId="0" xfId="0" applyNumberFormat="1" applyFont="1" applyAlignment="1">
      <alignment vertical="center"/>
    </xf>
    <xf numFmtId="0" fontId="13" fillId="0" borderId="59" xfId="0" applyFont="1" applyBorder="1" applyAlignment="1">
      <alignment wrapText="1"/>
    </xf>
    <xf numFmtId="3" fontId="17" fillId="3" borderId="12" xfId="0" applyNumberFormat="1" applyFont="1" applyFill="1" applyBorder="1" applyAlignment="1">
      <alignment horizontal="right" vertical="center"/>
    </xf>
    <xf numFmtId="3" fontId="23" fillId="0" borderId="2" xfId="0" applyNumberFormat="1" applyFont="1" applyBorder="1" applyAlignment="1">
      <alignment horizontal="right" vertical="center"/>
    </xf>
    <xf numFmtId="4" fontId="23" fillId="0" borderId="41" xfId="0" applyNumberFormat="1" applyFont="1" applyBorder="1" applyAlignment="1">
      <alignment horizontal="right" vertical="center"/>
    </xf>
    <xf numFmtId="4" fontId="23" fillId="0" borderId="8" xfId="0" applyNumberFormat="1" applyFont="1" applyBorder="1" applyAlignment="1">
      <alignment horizontal="right" vertical="center"/>
    </xf>
    <xf numFmtId="165" fontId="23" fillId="0" borderId="12" xfId="0" applyNumberFormat="1" applyFont="1" applyBorder="1" applyAlignment="1">
      <alignment vertical="center"/>
    </xf>
    <xf numFmtId="0" fontId="23" fillId="0" borderId="70" xfId="0" applyFont="1" applyBorder="1" applyAlignment="1">
      <alignment vertical="center"/>
    </xf>
    <xf numFmtId="165" fontId="17" fillId="0" borderId="14" xfId="0" applyNumberFormat="1" applyFont="1" applyBorder="1" applyAlignment="1">
      <alignment vertical="center"/>
    </xf>
    <xf numFmtId="166" fontId="13" fillId="0" borderId="0" xfId="15" applyNumberFormat="1" applyFont="1" applyAlignment="1">
      <alignment horizontal="right" vertical="center"/>
    </xf>
    <xf numFmtId="0" fontId="16" fillId="0" borderId="0" xfId="15" applyFont="1" applyAlignment="1">
      <alignment vertical="center"/>
    </xf>
    <xf numFmtId="3" fontId="16" fillId="0" borderId="0" xfId="15" applyNumberFormat="1" applyFont="1" applyAlignment="1">
      <alignment vertical="center"/>
    </xf>
    <xf numFmtId="4" fontId="16" fillId="0" borderId="0" xfId="15" applyNumberFormat="1" applyFont="1" applyAlignment="1">
      <alignment vertical="center"/>
    </xf>
    <xf numFmtId="0" fontId="11" fillId="0" borderId="0" xfId="14" applyFont="1" applyAlignment="1">
      <alignment horizontal="left" vertical="center" wrapText="1"/>
    </xf>
    <xf numFmtId="3" fontId="23" fillId="0" borderId="9" xfId="14" applyNumberFormat="1" applyFont="1" applyBorder="1" applyAlignment="1">
      <alignment vertical="center"/>
    </xf>
    <xf numFmtId="0" fontId="13" fillId="0" borderId="11" xfId="0" applyFont="1" applyBorder="1" applyAlignment="1">
      <alignment wrapText="1"/>
    </xf>
    <xf numFmtId="4" fontId="23" fillId="0" borderId="38" xfId="14" applyNumberFormat="1" applyFont="1" applyBorder="1" applyAlignment="1">
      <alignment vertical="center"/>
    </xf>
    <xf numFmtId="0" fontId="11" fillId="0" borderId="0" xfId="14" applyFont="1" applyAlignment="1">
      <alignment horizontal="center" vertical="center"/>
    </xf>
    <xf numFmtId="1" fontId="12" fillId="0" borderId="0" xfId="14" applyNumberFormat="1" applyFont="1"/>
    <xf numFmtId="0" fontId="31" fillId="0" borderId="0" xfId="14" applyFont="1" applyAlignment="1">
      <alignment horizontal="left" vertical="center"/>
    </xf>
    <xf numFmtId="0" fontId="31" fillId="0" borderId="0" xfId="14" applyFont="1" applyAlignment="1">
      <alignment vertical="center"/>
    </xf>
    <xf numFmtId="0" fontId="30" fillId="0" borderId="0" xfId="14" applyFont="1" applyAlignment="1">
      <alignment horizontal="left" vertical="center"/>
    </xf>
    <xf numFmtId="3" fontId="13" fillId="0" borderId="13" xfId="0" applyNumberFormat="1" applyFont="1" applyBorder="1" applyAlignment="1">
      <alignment horizontal="right" vertical="center"/>
    </xf>
    <xf numFmtId="4" fontId="13" fillId="0" borderId="42" xfId="0" applyNumberFormat="1" applyFont="1" applyBorder="1" applyAlignment="1">
      <alignment horizontal="right" vertical="center"/>
    </xf>
    <xf numFmtId="4" fontId="13" fillId="0" borderId="15" xfId="0" applyNumberFormat="1" applyFont="1" applyBorder="1" applyAlignment="1">
      <alignment horizontal="right" vertical="center"/>
    </xf>
    <xf numFmtId="3" fontId="17" fillId="3" borderId="18" xfId="0" applyNumberFormat="1" applyFont="1" applyFill="1" applyBorder="1" applyAlignment="1">
      <alignment horizontal="right" vertical="center"/>
    </xf>
    <xf numFmtId="165" fontId="13" fillId="0" borderId="25" xfId="0" applyNumberFormat="1" applyFont="1" applyBorder="1" applyAlignment="1">
      <alignment vertical="center"/>
    </xf>
    <xf numFmtId="3" fontId="13" fillId="0" borderId="2" xfId="0" applyNumberFormat="1" applyFont="1" applyBorder="1" applyAlignment="1">
      <alignment horizontal="right" vertical="center"/>
    </xf>
    <xf numFmtId="4" fontId="13" fillId="0" borderId="41" xfId="0" applyNumberFormat="1" applyFont="1" applyBorder="1" applyAlignment="1">
      <alignment horizontal="right" vertical="center"/>
    </xf>
    <xf numFmtId="4" fontId="13" fillId="0" borderId="8" xfId="0" applyNumberFormat="1" applyFont="1" applyBorder="1" applyAlignment="1">
      <alignment horizontal="right" vertical="center"/>
    </xf>
    <xf numFmtId="165" fontId="13" fillId="0" borderId="22" xfId="0" applyNumberFormat="1" applyFont="1" applyBorder="1" applyAlignment="1">
      <alignment vertical="center"/>
    </xf>
    <xf numFmtId="4" fontId="13" fillId="0" borderId="9" xfId="0" applyNumberFormat="1" applyFont="1" applyBorder="1" applyAlignment="1">
      <alignment vertical="center"/>
    </xf>
    <xf numFmtId="165" fontId="13" fillId="0" borderId="26" xfId="0" applyNumberFormat="1" applyFont="1" applyBorder="1" applyAlignment="1">
      <alignment vertical="center"/>
    </xf>
    <xf numFmtId="4" fontId="23" fillId="0" borderId="70" xfId="14" applyNumberFormat="1" applyFont="1" applyBorder="1" applyAlignment="1">
      <alignment vertical="center"/>
    </xf>
    <xf numFmtId="0" fontId="23" fillId="0" borderId="70" xfId="14" applyFont="1" applyBorder="1" applyAlignment="1">
      <alignment vertical="center" wrapText="1"/>
    </xf>
    <xf numFmtId="4" fontId="23" fillId="0" borderId="50" xfId="14" applyNumberFormat="1" applyFont="1" applyBorder="1" applyAlignment="1">
      <alignment vertical="center"/>
    </xf>
    <xf numFmtId="0" fontId="23" fillId="0" borderId="8" xfId="14" applyFont="1" applyBorder="1" applyAlignment="1">
      <alignment vertical="center" wrapText="1"/>
    </xf>
    <xf numFmtId="0" fontId="13" fillId="8" borderId="60" xfId="0" applyFont="1" applyFill="1" applyBorder="1" applyAlignment="1">
      <alignment vertical="center" wrapText="1"/>
    </xf>
    <xf numFmtId="4" fontId="13" fillId="8" borderId="4" xfId="0" applyNumberFormat="1" applyFont="1" applyFill="1" applyBorder="1" applyAlignment="1">
      <alignment vertical="center"/>
    </xf>
    <xf numFmtId="4" fontId="13" fillId="8" borderId="57" xfId="0" applyNumberFormat="1" applyFont="1" applyFill="1" applyBorder="1" applyAlignment="1">
      <alignment vertical="center"/>
    </xf>
    <xf numFmtId="4" fontId="13" fillId="8" borderId="29" xfId="0" applyNumberFormat="1" applyFont="1" applyFill="1" applyBorder="1" applyAlignment="1">
      <alignment vertical="center"/>
    </xf>
    <xf numFmtId="4" fontId="17" fillId="3" borderId="28" xfId="0" applyNumberFormat="1" applyFont="1" applyFill="1" applyBorder="1" applyAlignment="1">
      <alignment vertical="center"/>
    </xf>
    <xf numFmtId="4" fontId="23" fillId="5" borderId="38" xfId="0" applyNumberFormat="1" applyFont="1" applyFill="1" applyBorder="1" applyAlignment="1">
      <alignment vertical="center"/>
    </xf>
    <xf numFmtId="3" fontId="30" fillId="0" borderId="50" xfId="0" applyNumberFormat="1" applyFont="1" applyBorder="1"/>
    <xf numFmtId="3" fontId="17" fillId="0" borderId="63" xfId="0" applyNumberFormat="1" applyFont="1" applyBorder="1" applyAlignment="1">
      <alignment horizontal="right" vertical="center"/>
    </xf>
    <xf numFmtId="4" fontId="17" fillId="0" borderId="45" xfId="0" applyNumberFormat="1" applyFont="1" applyBorder="1" applyAlignment="1">
      <alignment horizontal="right" vertical="center"/>
    </xf>
    <xf numFmtId="4" fontId="17" fillId="0" borderId="7" xfId="0" applyNumberFormat="1" applyFont="1" applyBorder="1" applyAlignment="1">
      <alignment horizontal="right" vertical="center"/>
    </xf>
    <xf numFmtId="4" fontId="17" fillId="0" borderId="21" xfId="0" applyNumberFormat="1" applyFont="1" applyBorder="1" applyAlignment="1">
      <alignment horizontal="right" vertical="center"/>
    </xf>
    <xf numFmtId="0" fontId="23" fillId="0" borderId="79" xfId="0" applyFont="1" applyBorder="1" applyAlignment="1">
      <alignment vertical="center"/>
    </xf>
    <xf numFmtId="4" fontId="23" fillId="0" borderId="46" xfId="0" applyNumberFormat="1" applyFont="1" applyBorder="1" applyAlignment="1">
      <alignment horizontal="right" vertical="center"/>
    </xf>
    <xf numFmtId="3" fontId="23" fillId="0" borderId="19" xfId="0" applyNumberFormat="1" applyFont="1" applyBorder="1" applyAlignment="1">
      <alignment horizontal="right" vertical="center"/>
    </xf>
    <xf numFmtId="4" fontId="23" fillId="0" borderId="20" xfId="0" applyNumberFormat="1" applyFont="1" applyBorder="1" applyAlignment="1">
      <alignment horizontal="right" vertical="center"/>
    </xf>
    <xf numFmtId="4" fontId="23" fillId="0" borderId="23" xfId="0" applyNumberFormat="1" applyFont="1" applyBorder="1" applyAlignment="1">
      <alignment horizontal="right" vertical="center"/>
    </xf>
    <xf numFmtId="165" fontId="23" fillId="0" borderId="62" xfId="0" applyNumberFormat="1" applyFont="1" applyBorder="1" applyAlignment="1">
      <alignment vertical="center"/>
    </xf>
    <xf numFmtId="165" fontId="23" fillId="0" borderId="62" xfId="0" applyNumberFormat="1" applyFont="1" applyBorder="1" applyAlignment="1">
      <alignment horizontal="right" vertical="center"/>
    </xf>
    <xf numFmtId="14" fontId="13" fillId="0" borderId="58" xfId="0" applyNumberFormat="1" applyFont="1" applyBorder="1" applyAlignment="1">
      <alignment vertical="center"/>
    </xf>
    <xf numFmtId="14" fontId="13" fillId="0" borderId="47" xfId="0" applyNumberFormat="1" applyFont="1" applyBorder="1" applyAlignment="1">
      <alignment vertical="center"/>
    </xf>
    <xf numFmtId="14" fontId="13" fillId="0" borderId="59" xfId="0" applyNumberFormat="1" applyFont="1" applyBorder="1" applyAlignment="1">
      <alignment vertical="center"/>
    </xf>
    <xf numFmtId="0" fontId="20" fillId="0" borderId="0" xfId="1" applyFont="1" applyAlignment="1">
      <alignment vertical="center"/>
    </xf>
    <xf numFmtId="3" fontId="11" fillId="0" borderId="0" xfId="1" applyNumberFormat="1" applyFont="1" applyAlignment="1">
      <alignment vertical="center"/>
    </xf>
    <xf numFmtId="0" fontId="23" fillId="0" borderId="77" xfId="0" applyFont="1" applyBorder="1" applyAlignment="1">
      <alignment vertical="center"/>
    </xf>
    <xf numFmtId="14" fontId="11" fillId="0" borderId="0" xfId="0" applyNumberFormat="1" applyFont="1" applyAlignment="1">
      <alignment vertical="center"/>
    </xf>
    <xf numFmtId="0" fontId="14" fillId="0" borderId="0" xfId="14" applyFont="1" applyAlignment="1">
      <alignment horizontal="left" vertical="center"/>
    </xf>
    <xf numFmtId="0" fontId="14" fillId="0" borderId="0" xfId="14" applyFont="1" applyAlignment="1">
      <alignment horizontal="center" vertical="center"/>
    </xf>
    <xf numFmtId="3" fontId="26" fillId="0" borderId="0" xfId="14" applyNumberFormat="1" applyFont="1" applyAlignment="1">
      <alignment vertical="center"/>
    </xf>
    <xf numFmtId="4" fontId="26" fillId="0" borderId="0" xfId="14" applyNumberFormat="1" applyFont="1" applyAlignment="1">
      <alignment vertical="center"/>
    </xf>
    <xf numFmtId="0" fontId="15" fillId="0" borderId="0" xfId="14" applyFont="1" applyAlignment="1">
      <alignment horizontal="center" vertical="center"/>
    </xf>
    <xf numFmtId="0" fontId="16" fillId="0" borderId="76" xfId="15" applyFont="1" applyBorder="1" applyAlignment="1">
      <alignment vertical="center"/>
    </xf>
    <xf numFmtId="14" fontId="17" fillId="0" borderId="0" xfId="0" applyNumberFormat="1" applyFont="1" applyAlignment="1">
      <alignment vertical="center" wrapText="1"/>
    </xf>
    <xf numFmtId="165" fontId="23" fillId="0" borderId="18" xfId="0" applyNumberFormat="1" applyFont="1" applyBorder="1" applyAlignment="1">
      <alignment horizontal="right" vertical="center"/>
    </xf>
    <xf numFmtId="0" fontId="16" fillId="0" borderId="54" xfId="0" applyFont="1" applyBorder="1" applyAlignment="1">
      <alignment vertical="center"/>
    </xf>
    <xf numFmtId="165" fontId="16" fillId="0" borderId="24" xfId="0" applyNumberFormat="1" applyFont="1" applyBorder="1" applyAlignment="1">
      <alignment vertical="center"/>
    </xf>
    <xf numFmtId="165" fontId="16" fillId="6" borderId="48" xfId="14" applyNumberFormat="1" applyFont="1" applyFill="1" applyBorder="1" applyAlignment="1">
      <alignment vertical="center"/>
    </xf>
    <xf numFmtId="165" fontId="16" fillId="6" borderId="24" xfId="14" applyNumberFormat="1" applyFont="1" applyFill="1" applyBorder="1" applyAlignment="1">
      <alignment vertical="center"/>
    </xf>
    <xf numFmtId="0" fontId="11" fillId="0" borderId="0" xfId="0" applyFont="1" applyAlignment="1">
      <alignment horizontal="left" wrapText="1"/>
    </xf>
    <xf numFmtId="0" fontId="16" fillId="6" borderId="36" xfId="14" applyFont="1" applyFill="1" applyBorder="1" applyAlignment="1">
      <alignment vertical="center"/>
    </xf>
    <xf numFmtId="0" fontId="16" fillId="6" borderId="24" xfId="14" applyFont="1" applyFill="1" applyBorder="1" applyAlignment="1">
      <alignment vertical="center"/>
    </xf>
    <xf numFmtId="4" fontId="16" fillId="0" borderId="19" xfId="1" applyNumberFormat="1" applyFont="1" applyBorder="1" applyAlignment="1">
      <alignment vertical="center"/>
    </xf>
    <xf numFmtId="0" fontId="16" fillId="6" borderId="10" xfId="0" applyFont="1" applyFill="1" applyBorder="1" applyAlignment="1">
      <alignment wrapText="1"/>
    </xf>
    <xf numFmtId="3" fontId="16" fillId="6" borderId="5" xfId="0" applyNumberFormat="1" applyFont="1" applyFill="1" applyBorder="1" applyAlignment="1">
      <alignment wrapText="1"/>
    </xf>
    <xf numFmtId="4" fontId="16" fillId="6" borderId="6" xfId="0" applyNumberFormat="1" applyFont="1" applyFill="1" applyBorder="1" applyAlignment="1">
      <alignment wrapText="1"/>
    </xf>
    <xf numFmtId="4" fontId="16" fillId="6" borderId="36" xfId="0" applyNumberFormat="1" applyFont="1" applyFill="1" applyBorder="1" applyAlignment="1">
      <alignment wrapText="1"/>
    </xf>
    <xf numFmtId="3" fontId="17" fillId="3" borderId="26" xfId="0" applyNumberFormat="1" applyFont="1" applyFill="1" applyBorder="1"/>
    <xf numFmtId="0" fontId="16" fillId="6" borderId="56" xfId="0" applyFont="1" applyFill="1" applyBorder="1" applyAlignment="1">
      <alignment wrapText="1"/>
    </xf>
    <xf numFmtId="3" fontId="16" fillId="6" borderId="16" xfId="0" applyNumberFormat="1" applyFont="1" applyFill="1" applyBorder="1"/>
    <xf numFmtId="3" fontId="16" fillId="3" borderId="24" xfId="0" applyNumberFormat="1" applyFont="1" applyFill="1" applyBorder="1"/>
    <xf numFmtId="0" fontId="13" fillId="0" borderId="28" xfId="0" applyFont="1" applyBorder="1" applyAlignment="1">
      <alignment wrapText="1"/>
    </xf>
    <xf numFmtId="4" fontId="23" fillId="0" borderId="37" xfId="14" applyNumberFormat="1" applyFont="1" applyBorder="1" applyAlignment="1">
      <alignment horizontal="right" vertical="center"/>
    </xf>
    <xf numFmtId="4" fontId="23" fillId="0" borderId="50" xfId="14" applyNumberFormat="1" applyFont="1" applyBorder="1" applyAlignment="1">
      <alignment horizontal="right" vertical="center"/>
    </xf>
    <xf numFmtId="3" fontId="13" fillId="0" borderId="47" xfId="14" applyNumberFormat="1" applyFont="1" applyBorder="1" applyAlignment="1">
      <alignment horizontal="right" vertical="center"/>
    </xf>
    <xf numFmtId="3" fontId="23" fillId="0" borderId="47" xfId="14" applyNumberFormat="1" applyFont="1" applyBorder="1" applyAlignment="1">
      <alignment horizontal="right" vertical="center"/>
    </xf>
    <xf numFmtId="4" fontId="23" fillId="0" borderId="51" xfId="14" applyNumberFormat="1" applyFont="1" applyBorder="1" applyAlignment="1">
      <alignment horizontal="right" vertical="center"/>
    </xf>
    <xf numFmtId="4" fontId="23" fillId="5" borderId="8" xfId="14" applyNumberFormat="1" applyFont="1" applyFill="1" applyBorder="1" applyAlignment="1">
      <alignment horizontal="right" vertical="center"/>
    </xf>
    <xf numFmtId="3" fontId="23" fillId="5" borderId="2" xfId="14" applyNumberFormat="1" applyFont="1" applyFill="1" applyBorder="1" applyAlignment="1">
      <alignment vertical="center"/>
    </xf>
    <xf numFmtId="4" fontId="23" fillId="5" borderId="25" xfId="14" applyNumberFormat="1" applyFont="1" applyFill="1" applyBorder="1" applyAlignment="1">
      <alignment horizontal="right" vertical="center"/>
    </xf>
    <xf numFmtId="3" fontId="23" fillId="5" borderId="13" xfId="14" applyNumberFormat="1" applyFont="1" applyFill="1" applyBorder="1" applyAlignment="1">
      <alignment horizontal="right" vertical="center"/>
    </xf>
    <xf numFmtId="166" fontId="23" fillId="5" borderId="2" xfId="15" applyNumberFormat="1" applyFont="1" applyFill="1" applyBorder="1" applyAlignment="1">
      <alignment horizontal="right" vertical="center"/>
    </xf>
    <xf numFmtId="166" fontId="23" fillId="5" borderId="41" xfId="14" applyNumberFormat="1" applyFont="1" applyFill="1" applyBorder="1" applyAlignment="1">
      <alignment horizontal="right" vertical="center" wrapText="1"/>
    </xf>
    <xf numFmtId="3" fontId="23" fillId="5" borderId="13" xfId="14" applyNumberFormat="1" applyFont="1" applyFill="1" applyBorder="1" applyAlignment="1">
      <alignment vertical="center"/>
    </xf>
    <xf numFmtId="4" fontId="23" fillId="5" borderId="15" xfId="14" applyNumberFormat="1" applyFont="1" applyFill="1" applyBorder="1" applyAlignment="1">
      <alignment horizontal="right" vertical="center"/>
    </xf>
    <xf numFmtId="4" fontId="23" fillId="5" borderId="26" xfId="14" applyNumberFormat="1" applyFont="1" applyFill="1" applyBorder="1" applyAlignment="1">
      <alignment horizontal="right" vertical="center"/>
    </xf>
    <xf numFmtId="3" fontId="23" fillId="5" borderId="3" xfId="14" applyNumberFormat="1" applyFont="1" applyFill="1" applyBorder="1" applyAlignment="1">
      <alignment vertical="center"/>
    </xf>
    <xf numFmtId="4" fontId="23" fillId="5" borderId="9" xfId="14" applyNumberFormat="1" applyFont="1" applyFill="1" applyBorder="1" applyAlignment="1">
      <alignment horizontal="right" vertical="center"/>
    </xf>
    <xf numFmtId="0" fontId="23" fillId="0" borderId="17" xfId="19" applyFont="1" applyBorder="1" applyAlignment="1">
      <alignment vertical="center" wrapText="1"/>
    </xf>
    <xf numFmtId="4" fontId="13" fillId="0" borderId="42" xfId="14" applyNumberFormat="1" applyFont="1" applyBorder="1" applyAlignment="1">
      <alignment vertical="center"/>
    </xf>
    <xf numFmtId="3" fontId="13" fillId="0" borderId="58" xfId="14" applyNumberFormat="1" applyFont="1" applyBorder="1" applyAlignment="1">
      <alignment horizontal="right" vertical="center"/>
    </xf>
    <xf numFmtId="4" fontId="13" fillId="0" borderId="15" xfId="14" applyNumberFormat="1" applyFont="1" applyBorder="1" applyAlignment="1">
      <alignment vertical="center"/>
    </xf>
    <xf numFmtId="4" fontId="13" fillId="0" borderId="77" xfId="14" applyNumberFormat="1" applyFont="1" applyBorder="1" applyAlignment="1">
      <alignment vertical="center"/>
    </xf>
    <xf numFmtId="4" fontId="13" fillId="0" borderId="15" xfId="14" applyNumberFormat="1" applyFont="1" applyBorder="1" applyAlignment="1">
      <alignment horizontal="right" vertical="center"/>
    </xf>
    <xf numFmtId="4" fontId="13" fillId="0" borderId="25" xfId="14" applyNumberFormat="1" applyFont="1" applyBorder="1" applyAlignment="1">
      <alignment horizontal="right" vertical="center"/>
    </xf>
    <xf numFmtId="3" fontId="16" fillId="0" borderId="1" xfId="14" applyNumberFormat="1" applyFont="1" applyBorder="1" applyAlignment="1">
      <alignment vertical="center"/>
    </xf>
    <xf numFmtId="4" fontId="16" fillId="0" borderId="45" xfId="14" applyNumberFormat="1" applyFont="1" applyBorder="1" applyAlignment="1">
      <alignment vertical="center"/>
    </xf>
    <xf numFmtId="3" fontId="16" fillId="0" borderId="7" xfId="14" applyNumberFormat="1" applyFont="1" applyBorder="1" applyAlignment="1">
      <alignment horizontal="right" vertical="center"/>
    </xf>
    <xf numFmtId="4" fontId="16" fillId="0" borderId="7" xfId="14" applyNumberFormat="1" applyFont="1" applyBorder="1" applyAlignment="1">
      <alignment horizontal="right" vertical="center"/>
    </xf>
    <xf numFmtId="4" fontId="16" fillId="0" borderId="21" xfId="14" applyNumberFormat="1" applyFont="1" applyBorder="1" applyAlignment="1">
      <alignment horizontal="right" vertical="center"/>
    </xf>
    <xf numFmtId="166" fontId="16" fillId="0" borderId="1" xfId="15" applyNumberFormat="1" applyFont="1" applyBorder="1" applyAlignment="1">
      <alignment horizontal="right" vertical="center"/>
    </xf>
    <xf numFmtId="166" fontId="16" fillId="0" borderId="45" xfId="14" applyNumberFormat="1" applyFont="1" applyBorder="1" applyAlignment="1">
      <alignment horizontal="right" vertical="center" wrapText="1"/>
    </xf>
    <xf numFmtId="3" fontId="17" fillId="0" borderId="0" xfId="14" applyNumberFormat="1" applyFont="1" applyAlignment="1">
      <alignment horizontal="left" vertical="center"/>
    </xf>
    <xf numFmtId="0" fontId="17" fillId="0" borderId="0" xfId="14" applyFont="1" applyAlignment="1">
      <alignment horizontal="left" vertical="center"/>
    </xf>
    <xf numFmtId="3" fontId="16" fillId="0" borderId="13" xfId="14" applyNumberFormat="1" applyFont="1" applyBorder="1" applyAlignment="1">
      <alignment vertical="center"/>
    </xf>
    <xf numFmtId="4" fontId="16" fillId="0" borderId="42" xfId="14" applyNumberFormat="1" applyFont="1" applyBorder="1" applyAlignment="1">
      <alignment vertical="center"/>
    </xf>
    <xf numFmtId="3" fontId="16" fillId="0" borderId="15" xfId="14" applyNumberFormat="1" applyFont="1" applyBorder="1" applyAlignment="1">
      <alignment vertical="center"/>
    </xf>
    <xf numFmtId="4" fontId="16" fillId="0" borderId="49" xfId="14" applyNumberFormat="1" applyFont="1" applyBorder="1" applyAlignment="1">
      <alignment vertical="center"/>
    </xf>
    <xf numFmtId="4" fontId="16" fillId="0" borderId="15" xfId="14" applyNumberFormat="1" applyFont="1" applyBorder="1" applyAlignment="1">
      <alignment horizontal="right" vertical="center"/>
    </xf>
    <xf numFmtId="4" fontId="16" fillId="0" borderId="25" xfId="14" applyNumberFormat="1" applyFont="1" applyBorder="1" applyAlignment="1">
      <alignment horizontal="right" vertical="center"/>
    </xf>
    <xf numFmtId="166" fontId="16" fillId="0" borderId="13" xfId="15" applyNumberFormat="1" applyFont="1" applyBorder="1" applyAlignment="1">
      <alignment horizontal="right" vertical="center"/>
    </xf>
    <xf numFmtId="166" fontId="16" fillId="0" borderId="42" xfId="14" applyNumberFormat="1" applyFont="1" applyBorder="1" applyAlignment="1">
      <alignment horizontal="right" vertical="center" wrapText="1"/>
    </xf>
    <xf numFmtId="4" fontId="16" fillId="0" borderId="15" xfId="14" applyNumberFormat="1" applyFont="1" applyBorder="1" applyAlignment="1">
      <alignment vertical="center"/>
    </xf>
    <xf numFmtId="3" fontId="16" fillId="0" borderId="2" xfId="14" applyNumberFormat="1" applyFont="1" applyBorder="1" applyAlignment="1">
      <alignment vertical="center"/>
    </xf>
    <xf numFmtId="4" fontId="16" fillId="0" borderId="41" xfId="14" applyNumberFormat="1" applyFont="1" applyBorder="1" applyAlignment="1">
      <alignment vertical="center"/>
    </xf>
    <xf numFmtId="3" fontId="16" fillId="0" borderId="47" xfId="14" applyNumberFormat="1" applyFont="1" applyBorder="1" applyAlignment="1">
      <alignment horizontal="right" vertical="center"/>
    </xf>
    <xf numFmtId="4" fontId="16" fillId="0" borderId="8" xfId="14" applyNumberFormat="1" applyFont="1" applyBorder="1" applyAlignment="1">
      <alignment horizontal="right" vertical="center"/>
    </xf>
    <xf numFmtId="4" fontId="16" fillId="0" borderId="22" xfId="14" applyNumberFormat="1" applyFont="1" applyBorder="1" applyAlignment="1">
      <alignment horizontal="right" vertical="center"/>
    </xf>
    <xf numFmtId="166" fontId="16" fillId="0" borderId="2" xfId="15" applyNumberFormat="1" applyFont="1" applyBorder="1" applyAlignment="1">
      <alignment horizontal="right" vertical="center"/>
    </xf>
    <xf numFmtId="166" fontId="16" fillId="0" borderId="41" xfId="14" applyNumberFormat="1" applyFont="1" applyBorder="1" applyAlignment="1">
      <alignment horizontal="right" vertical="center" wrapText="1"/>
    </xf>
    <xf numFmtId="0" fontId="15" fillId="0" borderId="0" xfId="14" applyFont="1" applyAlignment="1">
      <alignment horizontal="left" vertical="center"/>
    </xf>
    <xf numFmtId="3" fontId="13" fillId="0" borderId="77" xfId="14" applyNumberFormat="1" applyFont="1" applyBorder="1" applyAlignment="1">
      <alignment horizontal="right" vertical="center"/>
    </xf>
    <xf numFmtId="4" fontId="13" fillId="0" borderId="77" xfId="14" applyNumberFormat="1" applyFont="1" applyBorder="1" applyAlignment="1">
      <alignment horizontal="right" vertical="center"/>
    </xf>
    <xf numFmtId="0" fontId="16" fillId="0" borderId="2" xfId="14" applyFont="1" applyBorder="1" applyAlignment="1">
      <alignment vertical="center"/>
    </xf>
    <xf numFmtId="4" fontId="13" fillId="5" borderId="26" xfId="14" applyNumberFormat="1" applyFont="1" applyFill="1" applyBorder="1" applyAlignment="1">
      <alignment horizontal="right" vertical="center"/>
    </xf>
    <xf numFmtId="3" fontId="13" fillId="5" borderId="3" xfId="14" applyNumberFormat="1" applyFont="1" applyFill="1" applyBorder="1" applyAlignment="1">
      <alignment vertical="center"/>
    </xf>
    <xf numFmtId="4" fontId="13" fillId="5" borderId="9" xfId="14" applyNumberFormat="1" applyFont="1" applyFill="1" applyBorder="1" applyAlignment="1">
      <alignment horizontal="right" vertical="center"/>
    </xf>
    <xf numFmtId="166" fontId="13" fillId="5" borderId="2" xfId="15" applyNumberFormat="1" applyFont="1" applyFill="1" applyBorder="1" applyAlignment="1">
      <alignment horizontal="right" vertical="center"/>
    </xf>
    <xf numFmtId="166" fontId="13" fillId="5" borderId="41" xfId="14" applyNumberFormat="1" applyFont="1" applyFill="1" applyBorder="1" applyAlignment="1">
      <alignment horizontal="right" vertical="center" wrapText="1"/>
    </xf>
    <xf numFmtId="0" fontId="12" fillId="0" borderId="0" xfId="14" applyFont="1" applyAlignment="1">
      <alignment vertical="center"/>
    </xf>
    <xf numFmtId="4" fontId="16" fillId="0" borderId="63" xfId="14" applyNumberFormat="1" applyFont="1" applyBorder="1" applyAlignment="1">
      <alignment vertical="center"/>
    </xf>
    <xf numFmtId="3" fontId="16" fillId="0" borderId="1" xfId="14" applyNumberFormat="1" applyFont="1" applyBorder="1" applyAlignment="1">
      <alignment horizontal="right" vertical="center"/>
    </xf>
    <xf numFmtId="4" fontId="16" fillId="0" borderId="22" xfId="14" applyNumberFormat="1" applyFont="1" applyBorder="1" applyAlignment="1">
      <alignment vertical="center"/>
    </xf>
    <xf numFmtId="166" fontId="16" fillId="0" borderId="51" xfId="15" applyNumberFormat="1" applyFont="1" applyBorder="1" applyAlignment="1">
      <alignment horizontal="right" vertical="center"/>
    </xf>
    <xf numFmtId="166" fontId="16" fillId="0" borderId="43" xfId="14" applyNumberFormat="1" applyFont="1" applyBorder="1" applyAlignment="1">
      <alignment horizontal="right" vertical="center" wrapText="1"/>
    </xf>
    <xf numFmtId="166" fontId="16" fillId="0" borderId="63" xfId="15" applyNumberFormat="1" applyFont="1" applyBorder="1" applyAlignment="1">
      <alignment horizontal="right" vertical="center"/>
    </xf>
    <xf numFmtId="3" fontId="16" fillId="0" borderId="3" xfId="14" applyNumberFormat="1" applyFont="1" applyBorder="1" applyAlignment="1">
      <alignment vertical="center"/>
    </xf>
    <xf numFmtId="4" fontId="16" fillId="0" borderId="26" xfId="14" applyNumberFormat="1" applyFont="1" applyBorder="1" applyAlignment="1">
      <alignment vertical="center"/>
    </xf>
    <xf numFmtId="4" fontId="16" fillId="0" borderId="9" xfId="14" applyNumberFormat="1" applyFont="1" applyBorder="1" applyAlignment="1">
      <alignment horizontal="right" vertical="center"/>
    </xf>
    <xf numFmtId="4" fontId="16" fillId="0" borderId="71" xfId="14" applyNumberFormat="1" applyFont="1" applyBorder="1" applyAlignment="1">
      <alignment horizontal="right" vertical="center"/>
    </xf>
    <xf numFmtId="3" fontId="16" fillId="0" borderId="19" xfId="14" applyNumberFormat="1" applyFont="1" applyBorder="1" applyAlignment="1">
      <alignment vertical="center"/>
    </xf>
    <xf numFmtId="4" fontId="16" fillId="0" borderId="20" xfId="14" applyNumberFormat="1" applyFont="1" applyBorder="1" applyAlignment="1">
      <alignment horizontal="right" vertical="center"/>
    </xf>
    <xf numFmtId="0" fontId="16" fillId="0" borderId="3" xfId="14" applyFont="1" applyBorder="1" applyAlignment="1">
      <alignment horizontal="center" vertical="center"/>
    </xf>
    <xf numFmtId="0" fontId="16" fillId="0" borderId="1" xfId="14" applyFont="1" applyBorder="1" applyAlignment="1">
      <alignment horizontal="centerContinuous" vertical="center"/>
    </xf>
    <xf numFmtId="4" fontId="16" fillId="0" borderId="43" xfId="14" applyNumberFormat="1" applyFont="1" applyBorder="1" applyAlignment="1">
      <alignment horizontal="right" vertical="center"/>
    </xf>
    <xf numFmtId="4" fontId="16" fillId="0" borderId="26" xfId="14" applyNumberFormat="1" applyFont="1" applyBorder="1" applyAlignment="1">
      <alignment horizontal="right" vertical="center"/>
    </xf>
    <xf numFmtId="166" fontId="16" fillId="0" borderId="50" xfId="15" applyNumberFormat="1" applyFont="1" applyBorder="1" applyAlignment="1">
      <alignment horizontal="right" vertical="center"/>
    </xf>
    <xf numFmtId="0" fontId="12" fillId="0" borderId="0" xfId="14" applyFont="1" applyAlignment="1">
      <alignment horizontal="left" vertical="center" wrapText="1"/>
    </xf>
    <xf numFmtId="0" fontId="16" fillId="0" borderId="2" xfId="14" applyFont="1" applyBorder="1" applyAlignment="1">
      <alignment horizontal="center" vertical="center"/>
    </xf>
    <xf numFmtId="4" fontId="16" fillId="0" borderId="41" xfId="14" applyNumberFormat="1" applyFont="1" applyBorder="1" applyAlignment="1">
      <alignment horizontal="right" vertical="center"/>
    </xf>
    <xf numFmtId="0" fontId="16" fillId="0" borderId="1" xfId="14" applyFont="1" applyBorder="1" applyAlignment="1">
      <alignment horizontal="center" vertical="center"/>
    </xf>
    <xf numFmtId="4" fontId="16" fillId="0" borderId="21" xfId="14" applyNumberFormat="1" applyFont="1" applyBorder="1" applyAlignment="1">
      <alignment vertical="center"/>
    </xf>
    <xf numFmtId="4" fontId="16" fillId="0" borderId="45" xfId="14" applyNumberFormat="1" applyFont="1" applyBorder="1" applyAlignment="1">
      <alignment horizontal="right" vertical="center"/>
    </xf>
    <xf numFmtId="166" fontId="16" fillId="0" borderId="45" xfId="15" applyNumberFormat="1" applyFont="1" applyBorder="1" applyAlignment="1">
      <alignment horizontal="right" vertical="center" wrapText="1"/>
    </xf>
    <xf numFmtId="0" fontId="16" fillId="5" borderId="2" xfId="14" applyFont="1" applyFill="1" applyBorder="1" applyAlignment="1">
      <alignment horizontal="center" vertical="center"/>
    </xf>
    <xf numFmtId="0" fontId="16" fillId="0" borderId="19" xfId="14" applyFont="1" applyBorder="1" applyAlignment="1">
      <alignment horizontal="center" vertical="center"/>
    </xf>
    <xf numFmtId="3" fontId="16" fillId="0" borderId="63" xfId="14" applyNumberFormat="1" applyFont="1" applyBorder="1" applyAlignment="1">
      <alignment vertical="center"/>
    </xf>
    <xf numFmtId="4" fontId="16" fillId="0" borderId="75" xfId="14" applyNumberFormat="1" applyFont="1" applyBorder="1" applyAlignment="1">
      <alignment vertical="center"/>
    </xf>
    <xf numFmtId="3" fontId="16" fillId="0" borderId="50" xfId="14" applyNumberFormat="1" applyFont="1" applyBorder="1" applyAlignment="1">
      <alignment vertical="center"/>
    </xf>
    <xf numFmtId="4" fontId="16" fillId="0" borderId="43" xfId="14" applyNumberFormat="1" applyFont="1" applyBorder="1" applyAlignment="1">
      <alignment vertical="center"/>
    </xf>
    <xf numFmtId="3" fontId="16" fillId="0" borderId="51" xfId="14" applyNumberFormat="1" applyFont="1" applyBorder="1" applyAlignment="1">
      <alignment vertical="center"/>
    </xf>
    <xf numFmtId="4" fontId="16" fillId="0" borderId="37" xfId="14" applyNumberFormat="1" applyFont="1" applyBorder="1" applyAlignment="1">
      <alignment vertical="center"/>
    </xf>
    <xf numFmtId="3" fontId="17" fillId="0" borderId="0" xfId="14" applyNumberFormat="1" applyFont="1" applyAlignment="1">
      <alignment vertical="center"/>
    </xf>
    <xf numFmtId="4" fontId="16" fillId="0" borderId="71" xfId="14" applyNumberFormat="1" applyFont="1" applyBorder="1" applyAlignment="1">
      <alignment vertical="center"/>
    </xf>
    <xf numFmtId="4" fontId="16" fillId="0" borderId="46" xfId="14" applyNumberFormat="1" applyFont="1" applyBorder="1" applyAlignment="1">
      <alignment vertical="center"/>
    </xf>
    <xf numFmtId="0" fontId="16" fillId="0" borderId="8" xfId="14" applyFont="1" applyBorder="1" applyAlignment="1">
      <alignment vertical="top"/>
    </xf>
    <xf numFmtId="4" fontId="16" fillId="0" borderId="50" xfId="14" applyNumberFormat="1" applyFont="1" applyBorder="1" applyAlignment="1">
      <alignment vertical="center"/>
    </xf>
    <xf numFmtId="3" fontId="16" fillId="0" borderId="58" xfId="14" applyNumberFormat="1" applyFont="1" applyBorder="1" applyAlignment="1">
      <alignment horizontal="right" vertical="center"/>
    </xf>
    <xf numFmtId="0" fontId="12" fillId="0" borderId="0" xfId="14" applyFont="1"/>
    <xf numFmtId="4" fontId="16" fillId="0" borderId="51" xfId="14" applyNumberFormat="1" applyFont="1" applyBorder="1" applyAlignment="1">
      <alignment horizontal="right" vertical="center"/>
    </xf>
    <xf numFmtId="0" fontId="24" fillId="0" borderId="0" xfId="14" applyFont="1"/>
    <xf numFmtId="3" fontId="16" fillId="0" borderId="2" xfId="14" applyNumberFormat="1" applyFont="1" applyBorder="1" applyAlignment="1">
      <alignment horizontal="right" vertical="center"/>
    </xf>
    <xf numFmtId="3" fontId="16" fillId="0" borderId="15" xfId="14" applyNumberFormat="1" applyFont="1" applyBorder="1" applyAlignment="1">
      <alignment horizontal="right" vertical="center"/>
    </xf>
    <xf numFmtId="0" fontId="12" fillId="0" borderId="0" xfId="14" applyFont="1" applyAlignment="1">
      <alignment horizontal="left"/>
    </xf>
    <xf numFmtId="166" fontId="16" fillId="0" borderId="50" xfId="20" applyNumberFormat="1" applyFont="1" applyBorder="1" applyAlignment="1">
      <alignment horizontal="right" vertical="center"/>
    </xf>
    <xf numFmtId="4" fontId="16" fillId="0" borderId="50" xfId="14" applyNumberFormat="1" applyFont="1" applyBorder="1" applyAlignment="1">
      <alignment horizontal="right" vertical="center"/>
    </xf>
    <xf numFmtId="4" fontId="16" fillId="0" borderId="70" xfId="14" applyNumberFormat="1" applyFont="1" applyBorder="1" applyAlignment="1">
      <alignment horizontal="right" vertical="center"/>
    </xf>
    <xf numFmtId="166" fontId="16" fillId="0" borderId="41" xfId="20" applyNumberFormat="1" applyFont="1" applyBorder="1" applyAlignment="1">
      <alignment horizontal="right" vertical="center" wrapText="1"/>
    </xf>
    <xf numFmtId="0" fontId="16" fillId="0" borderId="1" xfId="19" applyFont="1" applyBorder="1" applyAlignment="1">
      <alignment horizontal="center" vertical="center"/>
    </xf>
    <xf numFmtId="3" fontId="16" fillId="0" borderId="7" xfId="14" applyNumberFormat="1" applyFont="1" applyBorder="1" applyAlignment="1">
      <alignment vertical="center"/>
    </xf>
    <xf numFmtId="0" fontId="12" fillId="0" borderId="0" xfId="14" applyFont="1" applyAlignment="1">
      <alignment horizontal="left" vertical="center"/>
    </xf>
    <xf numFmtId="0" fontId="16" fillId="0" borderId="2" xfId="19" applyFont="1" applyBorder="1" applyAlignment="1">
      <alignment horizontal="center" vertical="center"/>
    </xf>
    <xf numFmtId="3" fontId="16" fillId="0" borderId="8" xfId="14" applyNumberFormat="1" applyFont="1" applyBorder="1" applyAlignment="1">
      <alignment vertical="center"/>
    </xf>
    <xf numFmtId="0" fontId="24" fillId="0" borderId="0" xfId="14" applyFont="1" applyAlignment="1">
      <alignment vertical="center"/>
    </xf>
    <xf numFmtId="3" fontId="16" fillId="0" borderId="9" xfId="14" applyNumberFormat="1" applyFont="1" applyBorder="1" applyAlignment="1">
      <alignment vertical="center"/>
    </xf>
    <xf numFmtId="0" fontId="16" fillId="0" borderId="8" xfId="14" applyFont="1" applyBorder="1" applyAlignment="1">
      <alignment vertical="top" wrapText="1"/>
    </xf>
    <xf numFmtId="0" fontId="12" fillId="0" borderId="0" xfId="14" applyFont="1" applyAlignment="1">
      <alignment horizontal="left" wrapText="1"/>
    </xf>
    <xf numFmtId="166" fontId="16" fillId="5" borderId="1" xfId="15" applyNumberFormat="1" applyFont="1" applyFill="1" applyBorder="1" applyAlignment="1">
      <alignment horizontal="right" vertical="center"/>
    </xf>
    <xf numFmtId="166" fontId="16" fillId="5" borderId="45" xfId="14" applyNumberFormat="1" applyFont="1" applyFill="1" applyBorder="1" applyAlignment="1">
      <alignment horizontal="right" vertical="center" wrapText="1"/>
    </xf>
    <xf numFmtId="3" fontId="16" fillId="5" borderId="2" xfId="14" applyNumberFormat="1" applyFont="1" applyFill="1" applyBorder="1" applyAlignment="1">
      <alignment vertical="center"/>
    </xf>
    <xf numFmtId="4" fontId="16" fillId="5" borderId="26" xfId="14" applyNumberFormat="1" applyFont="1" applyFill="1" applyBorder="1" applyAlignment="1">
      <alignment horizontal="right" vertical="center"/>
    </xf>
    <xf numFmtId="3" fontId="16" fillId="5" borderId="3" xfId="14" applyNumberFormat="1" applyFont="1" applyFill="1" applyBorder="1" applyAlignment="1">
      <alignment vertical="center"/>
    </xf>
    <xf numFmtId="4" fontId="16" fillId="5" borderId="9" xfId="14" applyNumberFormat="1" applyFont="1" applyFill="1" applyBorder="1" applyAlignment="1">
      <alignment horizontal="right" vertical="center"/>
    </xf>
    <xf numFmtId="166" fontId="16" fillId="5" borderId="2" xfId="15" applyNumberFormat="1" applyFont="1" applyFill="1" applyBorder="1" applyAlignment="1">
      <alignment horizontal="right" vertical="center"/>
    </xf>
    <xf numFmtId="166" fontId="16" fillId="5" borderId="41" xfId="14" applyNumberFormat="1" applyFont="1" applyFill="1" applyBorder="1" applyAlignment="1">
      <alignment horizontal="right" vertical="center" wrapText="1"/>
    </xf>
    <xf numFmtId="0" fontId="16" fillId="5" borderId="2" xfId="14" applyFont="1" applyFill="1" applyBorder="1" applyAlignment="1">
      <alignment horizontal="center" vertical="center" wrapText="1"/>
    </xf>
    <xf numFmtId="3" fontId="16" fillId="5" borderId="13" xfId="14" applyNumberFormat="1" applyFont="1" applyFill="1" applyBorder="1" applyAlignment="1">
      <alignment vertical="center"/>
    </xf>
    <xf numFmtId="4" fontId="16" fillId="5" borderId="25" xfId="14" applyNumberFormat="1" applyFont="1" applyFill="1" applyBorder="1" applyAlignment="1">
      <alignment horizontal="right" vertical="center"/>
    </xf>
    <xf numFmtId="4" fontId="16" fillId="5" borderId="22" xfId="14" applyNumberFormat="1" applyFont="1" applyFill="1" applyBorder="1" applyAlignment="1">
      <alignment horizontal="right" vertical="center"/>
    </xf>
    <xf numFmtId="4" fontId="16" fillId="5" borderId="8" xfId="14" applyNumberFormat="1" applyFont="1" applyFill="1" applyBorder="1" applyAlignment="1">
      <alignment horizontal="right" vertical="center"/>
    </xf>
    <xf numFmtId="0" fontId="16" fillId="0" borderId="54" xfId="14" applyFont="1" applyBorder="1" applyAlignment="1">
      <alignment horizontal="center" vertical="center"/>
    </xf>
    <xf numFmtId="3" fontId="16" fillId="0" borderId="32" xfId="14" applyNumberFormat="1" applyFont="1" applyBorder="1" applyAlignment="1">
      <alignment vertical="center"/>
    </xf>
    <xf numFmtId="4" fontId="16" fillId="0" borderId="39" xfId="14" applyNumberFormat="1" applyFont="1" applyBorder="1" applyAlignment="1">
      <alignment vertical="center"/>
    </xf>
    <xf numFmtId="3" fontId="16" fillId="0" borderId="67" xfId="14" applyNumberFormat="1" applyFont="1" applyBorder="1" applyAlignment="1">
      <alignment vertical="center"/>
    </xf>
    <xf numFmtId="4" fontId="16" fillId="0" borderId="35" xfId="14" applyNumberFormat="1" applyFont="1" applyBorder="1" applyAlignment="1">
      <alignment horizontal="right" vertical="center"/>
    </xf>
    <xf numFmtId="4" fontId="16" fillId="0" borderId="76" xfId="14" applyNumberFormat="1" applyFont="1" applyBorder="1" applyAlignment="1">
      <alignment horizontal="right" vertical="center"/>
    </xf>
    <xf numFmtId="0" fontId="16" fillId="0" borderId="47" xfId="14" applyFont="1" applyBorder="1" applyAlignment="1">
      <alignment horizontal="center" vertical="center"/>
    </xf>
    <xf numFmtId="4" fontId="16" fillId="0" borderId="52" xfId="14" applyNumberFormat="1" applyFont="1" applyBorder="1" applyAlignment="1">
      <alignment vertical="center"/>
    </xf>
    <xf numFmtId="4" fontId="16" fillId="0" borderId="39" xfId="14" applyNumberFormat="1" applyFont="1" applyBorder="1" applyAlignment="1">
      <alignment horizontal="right" vertical="center"/>
    </xf>
    <xf numFmtId="4" fontId="16" fillId="0" borderId="77" xfId="14" applyNumberFormat="1" applyFont="1" applyBorder="1" applyAlignment="1">
      <alignment horizontal="right" vertical="center"/>
    </xf>
    <xf numFmtId="3" fontId="16" fillId="0" borderId="4" xfId="14" applyNumberFormat="1" applyFont="1" applyBorder="1" applyAlignment="1">
      <alignment vertical="center"/>
    </xf>
    <xf numFmtId="4" fontId="16" fillId="0" borderId="9" xfId="14" applyNumberFormat="1" applyFont="1" applyBorder="1" applyAlignment="1">
      <alignment vertical="center"/>
    </xf>
    <xf numFmtId="4" fontId="16" fillId="0" borderId="23" xfId="14" applyNumberFormat="1" applyFont="1" applyBorder="1" applyAlignment="1">
      <alignment vertical="center"/>
    </xf>
    <xf numFmtId="4" fontId="16" fillId="0" borderId="75" xfId="14" applyNumberFormat="1" applyFont="1" applyBorder="1" applyAlignment="1">
      <alignment horizontal="right" vertical="center"/>
    </xf>
    <xf numFmtId="4" fontId="16" fillId="0" borderId="17" xfId="14" applyNumberFormat="1" applyFont="1" applyBorder="1" applyAlignment="1">
      <alignment horizontal="right" vertical="center"/>
    </xf>
    <xf numFmtId="4" fontId="16" fillId="0" borderId="37" xfId="14" applyNumberFormat="1" applyFont="1" applyBorder="1" applyAlignment="1">
      <alignment horizontal="right" vertical="center"/>
    </xf>
    <xf numFmtId="4" fontId="16" fillId="0" borderId="23" xfId="14" applyNumberFormat="1" applyFont="1" applyBorder="1" applyAlignment="1">
      <alignment horizontal="right" vertical="center"/>
    </xf>
    <xf numFmtId="4" fontId="16" fillId="0" borderId="7" xfId="14" applyNumberFormat="1" applyFont="1" applyBorder="1" applyAlignment="1">
      <alignment vertical="center"/>
    </xf>
    <xf numFmtId="4" fontId="16" fillId="0" borderId="25" xfId="14" applyNumberFormat="1" applyFont="1" applyBorder="1" applyAlignment="1">
      <alignment vertical="center"/>
    </xf>
    <xf numFmtId="0" fontId="17" fillId="0" borderId="2" xfId="14" applyFont="1" applyBorder="1" applyAlignment="1">
      <alignment horizontal="center" vertical="center"/>
    </xf>
    <xf numFmtId="4" fontId="16" fillId="0" borderId="29" xfId="14" applyNumberFormat="1" applyFont="1" applyBorder="1" applyAlignment="1">
      <alignment horizontal="right" vertical="center"/>
    </xf>
    <xf numFmtId="4" fontId="16" fillId="0" borderId="21" xfId="15" applyNumberFormat="1" applyFont="1" applyBorder="1" applyAlignment="1">
      <alignment vertical="center"/>
    </xf>
    <xf numFmtId="4" fontId="16" fillId="0" borderId="63" xfId="14" applyNumberFormat="1" applyFont="1" applyBorder="1" applyAlignment="1">
      <alignment horizontal="right" vertical="center"/>
    </xf>
    <xf numFmtId="4" fontId="16" fillId="0" borderId="49" xfId="14" applyNumberFormat="1" applyFont="1" applyBorder="1" applyAlignment="1">
      <alignment horizontal="right" vertical="center"/>
    </xf>
    <xf numFmtId="4" fontId="16" fillId="0" borderId="69" xfId="14" applyNumberFormat="1" applyFont="1" applyBorder="1" applyAlignment="1">
      <alignment horizontal="right" vertical="center"/>
    </xf>
    <xf numFmtId="166" fontId="16" fillId="0" borderId="41" xfId="15" applyNumberFormat="1" applyFont="1" applyBorder="1" applyAlignment="1">
      <alignment horizontal="right" vertical="center" wrapText="1"/>
    </xf>
    <xf numFmtId="3" fontId="16" fillId="0" borderId="49" xfId="14" applyNumberFormat="1" applyFont="1" applyBorder="1" applyAlignment="1">
      <alignment vertical="center"/>
    </xf>
    <xf numFmtId="0" fontId="23" fillId="5" borderId="17" xfId="14" applyFont="1" applyFill="1" applyBorder="1" applyAlignment="1">
      <alignment vertical="center" wrapText="1"/>
    </xf>
    <xf numFmtId="4" fontId="39" fillId="7" borderId="2" xfId="0" applyNumberFormat="1" applyFont="1" applyFill="1" applyBorder="1" applyAlignment="1">
      <alignment vertical="center"/>
    </xf>
    <xf numFmtId="4" fontId="39" fillId="7" borderId="41" xfId="0" applyNumberFormat="1" applyFont="1" applyFill="1" applyBorder="1" applyAlignment="1">
      <alignment vertical="center"/>
    </xf>
    <xf numFmtId="4" fontId="39" fillId="7" borderId="8" xfId="0" applyNumberFormat="1" applyFont="1" applyFill="1" applyBorder="1" applyAlignment="1">
      <alignment vertical="center"/>
    </xf>
    <xf numFmtId="4" fontId="40" fillId="3" borderId="12" xfId="0" applyNumberFormat="1" applyFont="1" applyFill="1" applyBorder="1" applyAlignment="1">
      <alignment vertical="center"/>
    </xf>
    <xf numFmtId="4" fontId="41" fillId="7" borderId="2" xfId="0" applyNumberFormat="1" applyFont="1" applyFill="1" applyBorder="1" applyAlignment="1">
      <alignment vertical="center"/>
    </xf>
    <xf numFmtId="4" fontId="41" fillId="7" borderId="41" xfId="0" applyNumberFormat="1" applyFont="1" applyFill="1" applyBorder="1" applyAlignment="1">
      <alignment vertical="center"/>
    </xf>
    <xf numFmtId="4" fontId="41" fillId="7" borderId="8" xfId="0" applyNumberFormat="1" applyFont="1" applyFill="1" applyBorder="1" applyAlignment="1">
      <alignment vertical="center"/>
    </xf>
    <xf numFmtId="4" fontId="42" fillId="3" borderId="12" xfId="0" applyNumberFormat="1" applyFont="1" applyFill="1" applyBorder="1" applyAlignment="1">
      <alignment vertical="center"/>
    </xf>
    <xf numFmtId="0" fontId="13" fillId="0" borderId="2" xfId="14" applyFont="1" applyBorder="1" applyAlignment="1">
      <alignment horizontal="center" vertical="center"/>
    </xf>
    <xf numFmtId="3" fontId="13" fillId="0" borderId="0" xfId="0" applyNumberFormat="1" applyFont="1" applyAlignment="1">
      <alignment vertical="center"/>
    </xf>
    <xf numFmtId="0" fontId="14" fillId="0" borderId="0" xfId="0" applyFont="1" applyAlignment="1">
      <alignment vertical="center"/>
    </xf>
    <xf numFmtId="3" fontId="13" fillId="0" borderId="0" xfId="0" applyNumberFormat="1" applyFont="1" applyAlignment="1">
      <alignment horizontal="right" vertical="center"/>
    </xf>
    <xf numFmtId="169" fontId="17" fillId="0" borderId="0" xfId="0" applyNumberFormat="1" applyFont="1" applyAlignment="1">
      <alignment horizontal="right" vertical="center"/>
    </xf>
    <xf numFmtId="3" fontId="11" fillId="0" borderId="0" xfId="0" applyNumberFormat="1" applyFont="1" applyAlignment="1">
      <alignment horizontal="left" vertical="center"/>
    </xf>
    <xf numFmtId="3" fontId="11" fillId="0" borderId="0" xfId="0" applyNumberFormat="1" applyFont="1" applyAlignment="1">
      <alignment horizontal="right" vertical="center"/>
    </xf>
    <xf numFmtId="3" fontId="16" fillId="0" borderId="0" xfId="0" applyNumberFormat="1" applyFont="1" applyAlignment="1">
      <alignment horizontal="right" vertical="center"/>
    </xf>
    <xf numFmtId="3" fontId="16" fillId="0" borderId="0" xfId="0" applyNumberFormat="1" applyFont="1" applyAlignment="1">
      <alignment vertical="center"/>
    </xf>
    <xf numFmtId="3" fontId="20" fillId="0" borderId="0" xfId="1" applyNumberFormat="1" applyFont="1" applyAlignment="1">
      <alignment vertical="center"/>
    </xf>
    <xf numFmtId="3" fontId="14" fillId="0" borderId="0" xfId="0" applyNumberFormat="1" applyFont="1" applyAlignment="1">
      <alignment vertical="center"/>
    </xf>
    <xf numFmtId="0" fontId="12" fillId="0" borderId="0" xfId="0" applyFont="1" applyAlignment="1">
      <alignment vertical="center"/>
    </xf>
    <xf numFmtId="4" fontId="12" fillId="0" borderId="0" xfId="0" applyNumberFormat="1" applyFont="1" applyAlignment="1">
      <alignment vertical="center"/>
    </xf>
    <xf numFmtId="3" fontId="16" fillId="0" borderId="0" xfId="0" applyNumberFormat="1" applyFont="1" applyAlignment="1">
      <alignment horizontal="center" vertical="center"/>
    </xf>
    <xf numFmtId="4" fontId="16" fillId="0" borderId="0" xfId="0" applyNumberFormat="1" applyFont="1" applyAlignment="1">
      <alignment vertical="center"/>
    </xf>
    <xf numFmtId="3" fontId="17" fillId="0" borderId="0" xfId="0" applyNumberFormat="1" applyFont="1" applyAlignment="1">
      <alignment vertical="center"/>
    </xf>
    <xf numFmtId="3" fontId="12" fillId="0" borderId="0" xfId="0" applyNumberFormat="1" applyFont="1" applyAlignment="1">
      <alignment vertical="center"/>
    </xf>
    <xf numFmtId="4" fontId="11" fillId="0" borderId="0" xfId="1" applyNumberFormat="1" applyFont="1" applyAlignment="1">
      <alignment vertical="center"/>
    </xf>
    <xf numFmtId="0" fontId="16" fillId="0" borderId="17" xfId="14" applyFont="1" applyBorder="1" applyAlignment="1">
      <alignment vertical="center" wrapText="1"/>
    </xf>
    <xf numFmtId="0" fontId="16" fillId="0" borderId="75" xfId="14" applyFont="1" applyBorder="1" applyAlignment="1">
      <alignment vertical="center" wrapText="1"/>
    </xf>
    <xf numFmtId="0" fontId="16" fillId="0" borderId="70" xfId="14" applyFont="1" applyBorder="1" applyAlignment="1">
      <alignment vertical="center"/>
    </xf>
    <xf numFmtId="0" fontId="16" fillId="0" borderId="0" xfId="14" applyFont="1" applyAlignment="1">
      <alignment horizontal="left" vertical="center"/>
    </xf>
    <xf numFmtId="0" fontId="13" fillId="0" borderId="13" xfId="14" applyFont="1" applyBorder="1" applyAlignment="1">
      <alignment horizontal="center" vertical="center"/>
    </xf>
    <xf numFmtId="0" fontId="13" fillId="0" borderId="3" xfId="14" applyFont="1" applyBorder="1" applyAlignment="1">
      <alignment horizontal="center" vertical="center"/>
    </xf>
    <xf numFmtId="0" fontId="13" fillId="0" borderId="58" xfId="14" applyFont="1" applyBorder="1" applyAlignment="1">
      <alignment horizontal="center" vertical="center"/>
    </xf>
    <xf numFmtId="0" fontId="23" fillId="0" borderId="47" xfId="14" applyFont="1" applyBorder="1" applyAlignment="1">
      <alignment horizontal="right" vertical="center" wrapText="1"/>
    </xf>
    <xf numFmtId="165" fontId="16" fillId="0" borderId="1" xfId="15" applyNumberFormat="1" applyFont="1" applyBorder="1" applyAlignment="1">
      <alignment horizontal="right" vertical="center"/>
    </xf>
    <xf numFmtId="165" fontId="16" fillId="0" borderId="45" xfId="14" applyNumberFormat="1" applyFont="1" applyBorder="1" applyAlignment="1">
      <alignment horizontal="right" vertical="center" wrapText="1"/>
    </xf>
    <xf numFmtId="165" fontId="13" fillId="0" borderId="2" xfId="15" applyNumberFormat="1" applyFont="1" applyBorder="1" applyAlignment="1">
      <alignment horizontal="right" vertical="center"/>
    </xf>
    <xf numFmtId="165" fontId="13" fillId="0" borderId="41" xfId="14" applyNumberFormat="1" applyFont="1" applyBorder="1" applyAlignment="1">
      <alignment horizontal="right" vertical="center" wrapText="1"/>
    </xf>
    <xf numFmtId="165" fontId="23" fillId="0" borderId="2" xfId="15" applyNumberFormat="1" applyFont="1" applyBorder="1" applyAlignment="1">
      <alignment horizontal="right" vertical="center"/>
    </xf>
    <xf numFmtId="165" fontId="23" fillId="0" borderId="41" xfId="14" applyNumberFormat="1" applyFont="1" applyBorder="1" applyAlignment="1">
      <alignment horizontal="right" vertical="center" wrapText="1"/>
    </xf>
    <xf numFmtId="165" fontId="16" fillId="0" borderId="13" xfId="15" applyNumberFormat="1" applyFont="1" applyBorder="1" applyAlignment="1">
      <alignment horizontal="right" vertical="center"/>
    </xf>
    <xf numFmtId="165" fontId="16" fillId="0" borderId="42" xfId="14" applyNumberFormat="1" applyFont="1" applyBorder="1" applyAlignment="1">
      <alignment horizontal="right" vertical="center" wrapText="1"/>
    </xf>
    <xf numFmtId="165" fontId="16" fillId="0" borderId="2" xfId="15" applyNumberFormat="1" applyFont="1" applyBorder="1" applyAlignment="1">
      <alignment horizontal="right" vertical="center"/>
    </xf>
    <xf numFmtId="165" fontId="16" fillId="0" borderId="41" xfId="14" applyNumberFormat="1" applyFont="1" applyBorder="1" applyAlignment="1">
      <alignment horizontal="right" vertical="center" wrapText="1"/>
    </xf>
    <xf numFmtId="165" fontId="16" fillId="6" borderId="48" xfId="15" applyNumberFormat="1" applyFont="1" applyFill="1" applyBorder="1" applyAlignment="1">
      <alignment horizontal="right" vertical="center"/>
    </xf>
    <xf numFmtId="165" fontId="16" fillId="6" borderId="16" xfId="14" applyNumberFormat="1" applyFont="1" applyFill="1" applyBorder="1" applyAlignment="1">
      <alignment horizontal="right" vertical="center" wrapText="1"/>
    </xf>
    <xf numFmtId="3" fontId="16" fillId="6" borderId="5" xfId="14" applyNumberFormat="1" applyFont="1" applyFill="1" applyBorder="1" applyAlignment="1">
      <alignment horizontal="right" vertical="center"/>
    </xf>
    <xf numFmtId="4" fontId="16" fillId="6" borderId="48" xfId="14" applyNumberFormat="1" applyFont="1" applyFill="1" applyBorder="1" applyAlignment="1">
      <alignment horizontal="right" vertical="center"/>
    </xf>
    <xf numFmtId="3" fontId="16" fillId="0" borderId="0" xfId="14" applyNumberFormat="1" applyFont="1" applyAlignment="1">
      <alignment horizontal="left" vertical="center" wrapText="1"/>
    </xf>
    <xf numFmtId="0" fontId="16" fillId="0" borderId="0" xfId="14" applyFont="1" applyAlignment="1">
      <alignment horizontal="left" vertical="center" wrapText="1"/>
    </xf>
    <xf numFmtId="166" fontId="16" fillId="5" borderId="13" xfId="15" applyNumberFormat="1" applyFont="1" applyFill="1" applyBorder="1" applyAlignment="1">
      <alignment horizontal="right" vertical="center"/>
    </xf>
    <xf numFmtId="166" fontId="16" fillId="5" borderId="42" xfId="14" applyNumberFormat="1" applyFont="1" applyFill="1" applyBorder="1" applyAlignment="1">
      <alignment horizontal="right" vertical="center" wrapText="1"/>
    </xf>
    <xf numFmtId="4" fontId="23" fillId="5" borderId="22" xfId="14" applyNumberFormat="1" applyFont="1" applyFill="1" applyBorder="1" applyAlignment="1">
      <alignment horizontal="right" vertical="center"/>
    </xf>
    <xf numFmtId="0" fontId="13" fillId="5" borderId="2" xfId="14" applyFont="1" applyFill="1" applyBorder="1" applyAlignment="1">
      <alignment horizontal="center" vertical="center" wrapText="1"/>
    </xf>
    <xf numFmtId="4" fontId="13" fillId="0" borderId="70" xfId="0" applyNumberFormat="1" applyFont="1" applyBorder="1" applyAlignment="1">
      <alignment vertical="center"/>
    </xf>
    <xf numFmtId="0" fontId="23" fillId="0" borderId="9" xfId="14" applyFont="1" applyBorder="1" applyAlignment="1">
      <alignment horizontal="center" vertical="top"/>
    </xf>
    <xf numFmtId="0" fontId="16" fillId="7" borderId="56" xfId="0" applyFont="1" applyFill="1" applyBorder="1" applyAlignment="1">
      <alignment vertical="center" wrapText="1"/>
    </xf>
    <xf numFmtId="4" fontId="16" fillId="7" borderId="5" xfId="0" applyNumberFormat="1" applyFont="1" applyFill="1" applyBorder="1" applyAlignment="1">
      <alignment vertical="center"/>
    </xf>
    <xf numFmtId="4" fontId="16" fillId="7" borderId="16" xfId="0" applyNumberFormat="1" applyFont="1" applyFill="1" applyBorder="1" applyAlignment="1">
      <alignment vertical="center"/>
    </xf>
    <xf numFmtId="4" fontId="16" fillId="7" borderId="6" xfId="0" applyNumberFormat="1" applyFont="1" applyFill="1" applyBorder="1" applyAlignment="1">
      <alignment vertical="center"/>
    </xf>
    <xf numFmtId="165" fontId="15" fillId="7" borderId="10" xfId="0" applyNumberFormat="1" applyFont="1" applyFill="1" applyBorder="1" applyAlignment="1">
      <alignment horizontal="right" vertical="center"/>
    </xf>
    <xf numFmtId="0" fontId="16" fillId="8" borderId="56" xfId="0" applyFont="1" applyFill="1" applyBorder="1" applyAlignment="1">
      <alignment vertical="center" wrapText="1"/>
    </xf>
    <xf numFmtId="4" fontId="16" fillId="8" borderId="5" xfId="0" applyNumberFormat="1" applyFont="1" applyFill="1" applyBorder="1" applyAlignment="1">
      <alignment vertical="center"/>
    </xf>
    <xf numFmtId="4" fontId="16" fillId="8" borderId="16" xfId="0" applyNumberFormat="1" applyFont="1" applyFill="1" applyBorder="1" applyAlignment="1">
      <alignment vertical="center"/>
    </xf>
    <xf numFmtId="4" fontId="16" fillId="8" borderId="6" xfId="0" applyNumberFormat="1" applyFont="1" applyFill="1" applyBorder="1" applyAlignment="1">
      <alignment vertical="center"/>
    </xf>
    <xf numFmtId="165" fontId="15" fillId="8" borderId="10" xfId="0" applyNumberFormat="1" applyFont="1" applyFill="1" applyBorder="1" applyAlignment="1">
      <alignment horizontal="right" vertical="center"/>
    </xf>
    <xf numFmtId="3" fontId="16" fillId="0" borderId="49" xfId="14" applyNumberFormat="1" applyFont="1" applyBorder="1" applyAlignment="1">
      <alignment horizontal="right" vertical="center"/>
    </xf>
    <xf numFmtId="4" fontId="13" fillId="0" borderId="0" xfId="1" applyNumberFormat="1" applyFont="1" applyAlignment="1">
      <alignment vertical="center"/>
    </xf>
    <xf numFmtId="0" fontId="16" fillId="0" borderId="13" xfId="14" applyFont="1" applyBorder="1" applyAlignment="1">
      <alignment horizontal="center" vertical="center"/>
    </xf>
    <xf numFmtId="0" fontId="23" fillId="0" borderId="22" xfId="14" applyFont="1" applyBorder="1" applyAlignment="1">
      <alignment vertical="center" wrapText="1"/>
    </xf>
    <xf numFmtId="3" fontId="17" fillId="0" borderId="58" xfId="0" applyNumberFormat="1" applyFont="1" applyBorder="1" applyAlignment="1">
      <alignment vertical="center"/>
    </xf>
    <xf numFmtId="3" fontId="17" fillId="0" borderId="47" xfId="0" applyNumberFormat="1" applyFont="1" applyBorder="1" applyAlignment="1">
      <alignment vertical="center"/>
    </xf>
    <xf numFmtId="3" fontId="17" fillId="0" borderId="59" xfId="0" applyNumberFormat="1" applyFont="1" applyBorder="1" applyAlignment="1">
      <alignment vertical="center"/>
    </xf>
    <xf numFmtId="0" fontId="16" fillId="0" borderId="22" xfId="14" applyFont="1" applyBorder="1" applyAlignment="1">
      <alignment vertical="center" wrapText="1"/>
    </xf>
    <xf numFmtId="0" fontId="16" fillId="6" borderId="65" xfId="14" applyFont="1" applyFill="1" applyBorder="1" applyAlignment="1">
      <alignment vertical="center"/>
    </xf>
    <xf numFmtId="0" fontId="23" fillId="0" borderId="22" xfId="14" applyFont="1" applyBorder="1" applyAlignment="1">
      <alignment vertical="center"/>
    </xf>
    <xf numFmtId="0" fontId="23" fillId="0" borderId="2" xfId="14" applyFont="1" applyBorder="1" applyAlignment="1">
      <alignment horizontal="right" vertical="center" wrapText="1"/>
    </xf>
    <xf numFmtId="0" fontId="23" fillId="0" borderId="17" xfId="14" applyFont="1" applyBorder="1" applyAlignment="1">
      <alignment vertical="center" wrapText="1"/>
    </xf>
    <xf numFmtId="0" fontId="23" fillId="5" borderId="22" xfId="14" applyFont="1" applyFill="1" applyBorder="1" applyAlignment="1">
      <alignment vertical="center" wrapText="1"/>
    </xf>
    <xf numFmtId="4" fontId="39" fillId="8" borderId="2" xfId="0" applyNumberFormat="1" applyFont="1" applyFill="1" applyBorder="1" applyAlignment="1">
      <alignment vertical="center"/>
    </xf>
    <xf numFmtId="4" fontId="39" fillId="8" borderId="41" xfId="0" applyNumberFormat="1" applyFont="1" applyFill="1" applyBorder="1" applyAlignment="1">
      <alignment vertical="center"/>
    </xf>
    <xf numFmtId="4" fontId="39" fillId="8" borderId="8" xfId="0" applyNumberFormat="1" applyFont="1" applyFill="1" applyBorder="1" applyAlignment="1">
      <alignment vertical="center"/>
    </xf>
    <xf numFmtId="4" fontId="41" fillId="8" borderId="2" xfId="0" applyNumberFormat="1" applyFont="1" applyFill="1" applyBorder="1" applyAlignment="1">
      <alignment vertical="center"/>
    </xf>
    <xf numFmtId="4" fontId="41" fillId="8" borderId="41" xfId="0" applyNumberFormat="1" applyFont="1" applyFill="1" applyBorder="1" applyAlignment="1">
      <alignment vertical="center"/>
    </xf>
    <xf numFmtId="4" fontId="41" fillId="8" borderId="8" xfId="0" applyNumberFormat="1" applyFont="1" applyFill="1" applyBorder="1" applyAlignment="1">
      <alignment vertical="center"/>
    </xf>
    <xf numFmtId="4" fontId="17" fillId="3" borderId="62" xfId="0" applyNumberFormat="1" applyFont="1" applyFill="1" applyBorder="1" applyAlignment="1">
      <alignment vertical="center"/>
    </xf>
    <xf numFmtId="0" fontId="23" fillId="5" borderId="2" xfId="14" applyFont="1" applyFill="1" applyBorder="1" applyAlignment="1">
      <alignment horizontal="right" vertical="center"/>
    </xf>
    <xf numFmtId="49" fontId="13" fillId="0" borderId="3" xfId="0" applyNumberFormat="1" applyFont="1" applyBorder="1" applyAlignment="1">
      <alignment horizontal="center" vertical="center"/>
    </xf>
    <xf numFmtId="4" fontId="16" fillId="0" borderId="38" xfId="14" applyNumberFormat="1" applyFont="1" applyBorder="1" applyAlignment="1">
      <alignment horizontal="right" vertical="center"/>
    </xf>
    <xf numFmtId="4" fontId="12" fillId="0" borderId="0" xfId="14" applyNumberFormat="1" applyFont="1" applyAlignment="1">
      <alignment vertical="center"/>
    </xf>
    <xf numFmtId="4" fontId="17" fillId="0" borderId="0" xfId="14" applyNumberFormat="1" applyFont="1" applyAlignment="1">
      <alignment vertical="center"/>
    </xf>
    <xf numFmtId="4" fontId="17" fillId="0" borderId="0" xfId="14" applyNumberFormat="1" applyFont="1" applyAlignment="1">
      <alignment horizontal="right" vertical="center"/>
    </xf>
    <xf numFmtId="4" fontId="17" fillId="0" borderId="0" xfId="20" applyNumberFormat="1" applyFont="1" applyAlignment="1">
      <alignment horizontal="right" vertical="center"/>
    </xf>
    <xf numFmtId="49" fontId="13" fillId="0" borderId="8" xfId="14" applyNumberFormat="1" applyFont="1" applyBorder="1" applyAlignment="1">
      <alignment horizontal="center" vertical="center"/>
    </xf>
    <xf numFmtId="166" fontId="15" fillId="5" borderId="0" xfId="14" applyNumberFormat="1" applyFont="1" applyFill="1" applyAlignment="1">
      <alignment horizontal="right" vertical="center"/>
    </xf>
    <xf numFmtId="3" fontId="23" fillId="0" borderId="0" xfId="14" applyNumberFormat="1" applyFont="1" applyAlignment="1">
      <alignment vertical="center"/>
    </xf>
    <xf numFmtId="0" fontId="16" fillId="0" borderId="8" xfId="14" applyFont="1" applyBorder="1" applyAlignment="1">
      <alignment vertical="center"/>
    </xf>
    <xf numFmtId="0" fontId="11" fillId="0" borderId="0" xfId="14" applyFont="1" applyAlignment="1">
      <alignment vertical="center" wrapText="1"/>
    </xf>
    <xf numFmtId="0" fontId="23" fillId="0" borderId="50" xfId="14" applyFont="1" applyBorder="1" applyAlignment="1">
      <alignment vertical="center"/>
    </xf>
    <xf numFmtId="0" fontId="23" fillId="0" borderId="70" xfId="14" applyFont="1" applyBorder="1" applyAlignment="1">
      <alignment vertical="center"/>
    </xf>
    <xf numFmtId="0" fontId="27" fillId="0" borderId="0" xfId="14" applyFont="1" applyAlignment="1">
      <alignment vertical="center"/>
    </xf>
    <xf numFmtId="166" fontId="17" fillId="0" borderId="0" xfId="15" applyNumberFormat="1" applyFont="1" applyAlignment="1">
      <alignment horizontal="right" vertical="center"/>
    </xf>
    <xf numFmtId="3" fontId="11" fillId="0" borderId="0" xfId="0" applyNumberFormat="1" applyFont="1" applyAlignment="1">
      <alignment horizontal="center" vertical="center"/>
    </xf>
    <xf numFmtId="0" fontId="20" fillId="0" borderId="0" xfId="1" applyFont="1" applyAlignment="1">
      <alignment horizontal="left" vertical="center"/>
    </xf>
    <xf numFmtId="0" fontId="14" fillId="0" borderId="0" xfId="0" applyFont="1" applyAlignment="1">
      <alignment horizontal="left" vertical="center"/>
    </xf>
    <xf numFmtId="49" fontId="13" fillId="0" borderId="13" xfId="0" applyNumberFormat="1" applyFont="1" applyBorder="1" applyAlignment="1">
      <alignment horizontal="center" vertical="center"/>
    </xf>
    <xf numFmtId="49" fontId="13" fillId="0" borderId="15" xfId="0" applyNumberFormat="1" applyFont="1" applyBorder="1" applyAlignment="1">
      <alignment horizontal="center" vertical="center"/>
    </xf>
    <xf numFmtId="49" fontId="13" fillId="0" borderId="38" xfId="0" applyNumberFormat="1" applyFont="1" applyBorder="1" applyAlignment="1">
      <alignment vertical="center"/>
    </xf>
    <xf numFmtId="14" fontId="11" fillId="0" borderId="0" xfId="0" applyNumberFormat="1" applyFont="1" applyAlignment="1">
      <alignment horizontal="center" vertical="center"/>
    </xf>
    <xf numFmtId="0" fontId="14" fillId="0" borderId="0" xfId="1" applyFont="1" applyAlignment="1">
      <alignment vertical="center" wrapText="1"/>
    </xf>
    <xf numFmtId="3" fontId="16" fillId="6" borderId="36" xfId="1" applyNumberFormat="1" applyFont="1" applyFill="1" applyBorder="1" applyAlignment="1">
      <alignment horizontal="center" vertical="center" wrapText="1"/>
    </xf>
    <xf numFmtId="0" fontId="11" fillId="0" borderId="0" xfId="0" applyFont="1" applyAlignment="1">
      <alignment horizontal="center" vertical="center"/>
    </xf>
    <xf numFmtId="0" fontId="16" fillId="0" borderId="10" xfId="0" applyFont="1" applyBorder="1" applyAlignment="1">
      <alignment vertical="center"/>
    </xf>
    <xf numFmtId="4" fontId="16" fillId="0" borderId="48" xfId="0" applyNumberFormat="1" applyFont="1" applyBorder="1" applyAlignment="1">
      <alignment vertical="center"/>
    </xf>
    <xf numFmtId="4" fontId="12" fillId="0" borderId="0" xfId="1" applyNumberFormat="1" applyFont="1" applyAlignment="1">
      <alignment vertical="center"/>
    </xf>
    <xf numFmtId="165" fontId="17" fillId="0" borderId="0" xfId="1" applyNumberFormat="1" applyFont="1" applyAlignment="1">
      <alignment horizontal="right" vertical="center"/>
    </xf>
    <xf numFmtId="165" fontId="11" fillId="0" borderId="0" xfId="1" applyNumberFormat="1" applyFont="1" applyAlignment="1">
      <alignment vertical="center"/>
    </xf>
    <xf numFmtId="0" fontId="14" fillId="0" borderId="0" xfId="1" applyFont="1" applyAlignment="1">
      <alignment vertical="center"/>
    </xf>
    <xf numFmtId="0" fontId="16" fillId="0" borderId="0" xfId="1" applyFont="1" applyAlignment="1">
      <alignment vertical="center"/>
    </xf>
    <xf numFmtId="0" fontId="21" fillId="0" borderId="0" xfId="1" applyFont="1" applyAlignment="1">
      <alignment vertical="center"/>
    </xf>
    <xf numFmtId="165" fontId="13" fillId="0" borderId="0" xfId="1" applyNumberFormat="1" applyFont="1" applyAlignment="1">
      <alignment horizontal="right" vertical="center"/>
    </xf>
    <xf numFmtId="0" fontId="15" fillId="0" borderId="0" xfId="1" applyFont="1" applyAlignment="1">
      <alignment vertical="center"/>
    </xf>
    <xf numFmtId="14" fontId="11" fillId="0" borderId="0" xfId="1" applyNumberFormat="1" applyFont="1" applyAlignment="1">
      <alignment vertical="center"/>
    </xf>
    <xf numFmtId="49" fontId="11" fillId="0" borderId="0" xfId="0" applyNumberFormat="1" applyFont="1" applyAlignment="1">
      <alignment horizontal="right" vertical="center"/>
    </xf>
    <xf numFmtId="4" fontId="17" fillId="0" borderId="0" xfId="0" applyNumberFormat="1" applyFont="1" applyAlignment="1">
      <alignment horizontal="right" vertical="center"/>
    </xf>
    <xf numFmtId="0" fontId="35" fillId="0" borderId="0" xfId="0" applyFont="1" applyAlignment="1">
      <alignment vertical="center"/>
    </xf>
    <xf numFmtId="0" fontId="37" fillId="0" borderId="0" xfId="0" applyFont="1" applyAlignment="1">
      <alignment vertical="center"/>
    </xf>
    <xf numFmtId="0" fontId="36" fillId="0" borderId="0" xfId="0" applyFont="1" applyAlignment="1">
      <alignment vertical="center"/>
    </xf>
    <xf numFmtId="0" fontId="16" fillId="0" borderId="0" xfId="0" applyFont="1" applyAlignment="1">
      <alignment vertical="center" wrapText="1"/>
    </xf>
    <xf numFmtId="165" fontId="11" fillId="0" borderId="0" xfId="0" applyNumberFormat="1" applyFont="1" applyAlignment="1">
      <alignment vertical="center"/>
    </xf>
    <xf numFmtId="14" fontId="11" fillId="0" borderId="0" xfId="0" applyNumberFormat="1" applyFont="1" applyAlignment="1">
      <alignment vertical="center" wrapText="1"/>
    </xf>
    <xf numFmtId="0" fontId="22" fillId="0" borderId="0" xfId="1" applyFont="1" applyAlignment="1">
      <alignment vertical="center"/>
    </xf>
    <xf numFmtId="49" fontId="11" fillId="0" borderId="0" xfId="2" applyNumberFormat="1" applyFont="1" applyAlignment="1">
      <alignment horizontal="center" vertical="center"/>
    </xf>
    <xf numFmtId="0" fontId="11" fillId="0" borderId="0" xfId="2" applyFont="1" applyAlignment="1">
      <alignment vertical="center"/>
    </xf>
    <xf numFmtId="4" fontId="11" fillId="0" borderId="0" xfId="2" applyNumberFormat="1" applyFont="1" applyAlignment="1">
      <alignment vertical="center"/>
    </xf>
    <xf numFmtId="49" fontId="11" fillId="0" borderId="0" xfId="0" applyNumberFormat="1" applyFont="1" applyAlignment="1">
      <alignment vertical="center"/>
    </xf>
    <xf numFmtId="166" fontId="13" fillId="0" borderId="0" xfId="0" applyNumberFormat="1" applyFont="1" applyAlignment="1">
      <alignment horizontal="right" vertical="center"/>
    </xf>
    <xf numFmtId="14" fontId="20" fillId="0" borderId="0" xfId="1" applyNumberFormat="1" applyFont="1" applyAlignment="1">
      <alignment vertical="center"/>
    </xf>
    <xf numFmtId="14" fontId="11" fillId="0" borderId="0" xfId="0" applyNumberFormat="1" applyFont="1" applyAlignment="1">
      <alignment horizontal="left" vertical="center"/>
    </xf>
    <xf numFmtId="3" fontId="12" fillId="0" borderId="0" xfId="0" applyNumberFormat="1" applyFont="1" applyAlignment="1">
      <alignment horizontal="right" vertical="center"/>
    </xf>
    <xf numFmtId="4" fontId="12" fillId="0" borderId="0" xfId="0" applyNumberFormat="1" applyFont="1" applyAlignment="1">
      <alignment horizontal="right" vertical="center"/>
    </xf>
    <xf numFmtId="14" fontId="14" fillId="0" borderId="0" xfId="0" applyNumberFormat="1" applyFont="1" applyAlignment="1">
      <alignment vertical="center"/>
    </xf>
    <xf numFmtId="4" fontId="16" fillId="0" borderId="0" xfId="0" applyNumberFormat="1" applyFont="1" applyAlignment="1">
      <alignment horizontal="center" vertical="center"/>
    </xf>
    <xf numFmtId="165" fontId="16" fillId="0" borderId="0" xfId="0" applyNumberFormat="1" applyFont="1" applyAlignment="1">
      <alignment vertical="center"/>
    </xf>
    <xf numFmtId="4" fontId="11" fillId="0" borderId="0" xfId="0" applyNumberFormat="1" applyFont="1" applyAlignment="1">
      <alignment horizontal="right" vertical="center"/>
    </xf>
    <xf numFmtId="14" fontId="17" fillId="0" borderId="0" xfId="0" applyNumberFormat="1" applyFont="1" applyAlignment="1">
      <alignment vertical="center"/>
    </xf>
    <xf numFmtId="14" fontId="16" fillId="0" borderId="0" xfId="0" applyNumberFormat="1" applyFont="1" applyAlignment="1">
      <alignment vertical="center"/>
    </xf>
    <xf numFmtId="14" fontId="12" fillId="0" borderId="0" xfId="0" applyNumberFormat="1" applyFont="1" applyAlignment="1">
      <alignment vertical="center"/>
    </xf>
    <xf numFmtId="4" fontId="13" fillId="7" borderId="17" xfId="0" applyNumberFormat="1" applyFont="1" applyFill="1" applyBorder="1" applyAlignment="1">
      <alignment vertical="center"/>
    </xf>
    <xf numFmtId="49" fontId="13" fillId="0" borderId="5" xfId="2" applyNumberFormat="1" applyFont="1" applyBorder="1" applyAlignment="1">
      <alignment horizontal="center" vertical="center"/>
    </xf>
    <xf numFmtId="0" fontId="13" fillId="0" borderId="16" xfId="2" applyFont="1" applyBorder="1" applyAlignment="1">
      <alignment vertical="center" wrapText="1"/>
    </xf>
    <xf numFmtId="3" fontId="13" fillId="0" borderId="5" xfId="2" applyNumberFormat="1" applyFont="1" applyBorder="1" applyAlignment="1">
      <alignment vertical="center"/>
    </xf>
    <xf numFmtId="4" fontId="13" fillId="0" borderId="16" xfId="2" applyNumberFormat="1" applyFont="1" applyBorder="1" applyAlignment="1">
      <alignment vertical="center"/>
    </xf>
    <xf numFmtId="4" fontId="13" fillId="0" borderId="6" xfId="2" applyNumberFormat="1" applyFont="1" applyBorder="1" applyAlignment="1">
      <alignment vertical="center"/>
    </xf>
    <xf numFmtId="166" fontId="13" fillId="0" borderId="24" xfId="0" applyNumberFormat="1" applyFont="1" applyBorder="1" applyAlignment="1">
      <alignment horizontal="right" vertical="center"/>
    </xf>
    <xf numFmtId="0" fontId="7" fillId="0" borderId="0" xfId="0" applyFont="1" applyAlignment="1">
      <alignment vertical="center"/>
    </xf>
    <xf numFmtId="4" fontId="7" fillId="0" borderId="0" xfId="0" applyNumberFormat="1" applyFont="1" applyAlignment="1">
      <alignment vertical="center"/>
    </xf>
    <xf numFmtId="169" fontId="7" fillId="0" borderId="0" xfId="0" applyNumberFormat="1" applyFont="1" applyAlignment="1">
      <alignment vertical="center"/>
    </xf>
    <xf numFmtId="49" fontId="13" fillId="0" borderId="38" xfId="0" applyNumberFormat="1" applyFont="1" applyBorder="1" applyAlignment="1">
      <alignment vertical="center" wrapText="1"/>
    </xf>
    <xf numFmtId="165" fontId="16" fillId="6" borderId="16" xfId="14" applyNumberFormat="1" applyFont="1" applyFill="1" applyBorder="1" applyAlignment="1">
      <alignment vertical="center"/>
    </xf>
    <xf numFmtId="0" fontId="11" fillId="0" borderId="60" xfId="0" applyFont="1" applyBorder="1" applyAlignment="1">
      <alignment vertical="center" wrapText="1"/>
    </xf>
    <xf numFmtId="4" fontId="17" fillId="0" borderId="27" xfId="0" applyNumberFormat="1" applyFont="1" applyBorder="1" applyAlignment="1">
      <alignment vertical="center"/>
    </xf>
    <xf numFmtId="4" fontId="16" fillId="0" borderId="48" xfId="1" applyNumberFormat="1" applyFont="1" applyBorder="1" applyAlignment="1">
      <alignment vertical="center"/>
    </xf>
    <xf numFmtId="4" fontId="15" fillId="0" borderId="2" xfId="1" applyNumberFormat="1" applyFont="1" applyBorder="1" applyAlignment="1">
      <alignment vertical="center"/>
    </xf>
    <xf numFmtId="4" fontId="16" fillId="0" borderId="66" xfId="1" applyNumberFormat="1" applyFont="1" applyBorder="1" applyAlignment="1">
      <alignment vertical="center"/>
    </xf>
    <xf numFmtId="4" fontId="16" fillId="0" borderId="73" xfId="1" applyNumberFormat="1" applyFont="1" applyBorder="1" applyAlignment="1">
      <alignment vertical="center"/>
    </xf>
    <xf numFmtId="4" fontId="16" fillId="3" borderId="62" xfId="1" applyNumberFormat="1" applyFont="1" applyFill="1" applyBorder="1" applyAlignment="1">
      <alignment vertical="center"/>
    </xf>
    <xf numFmtId="165" fontId="16" fillId="0" borderId="23" xfId="1" applyNumberFormat="1" applyFont="1" applyBorder="1" applyAlignment="1">
      <alignment vertical="center"/>
    </xf>
    <xf numFmtId="4" fontId="13" fillId="0" borderId="49" xfId="0" applyNumberFormat="1" applyFont="1" applyBorder="1" applyAlignment="1">
      <alignment vertical="center"/>
    </xf>
    <xf numFmtId="4" fontId="23" fillId="0" borderId="49" xfId="0" applyNumberFormat="1" applyFont="1" applyBorder="1" applyAlignment="1">
      <alignment vertical="center"/>
    </xf>
    <xf numFmtId="4" fontId="23" fillId="5" borderId="49" xfId="0" applyNumberFormat="1" applyFont="1" applyFill="1" applyBorder="1" applyAlignment="1">
      <alignment vertical="center"/>
    </xf>
    <xf numFmtId="4" fontId="13" fillId="0" borderId="51" xfId="0" applyNumberFormat="1" applyFont="1" applyBorder="1" applyAlignment="1">
      <alignment vertical="center"/>
    </xf>
    <xf numFmtId="3" fontId="13" fillId="0" borderId="1" xfId="0" applyNumberFormat="1" applyFont="1" applyBorder="1" applyAlignment="1">
      <alignment vertical="center"/>
    </xf>
    <xf numFmtId="3" fontId="13" fillId="0" borderId="19" xfId="0" applyNumberFormat="1" applyFont="1" applyBorder="1" applyAlignment="1">
      <alignment vertical="center"/>
    </xf>
    <xf numFmtId="3" fontId="16" fillId="0" borderId="19" xfId="14" applyNumberFormat="1" applyFont="1" applyBorder="1" applyAlignment="1">
      <alignment horizontal="right" vertical="center"/>
    </xf>
    <xf numFmtId="4" fontId="23" fillId="0" borderId="49" xfId="14" applyNumberFormat="1" applyFont="1" applyBorder="1" applyAlignment="1">
      <alignment vertical="center"/>
    </xf>
    <xf numFmtId="4" fontId="16" fillId="0" borderId="51" xfId="14" applyNumberFormat="1" applyFont="1" applyBorder="1" applyAlignment="1">
      <alignment vertical="center"/>
    </xf>
    <xf numFmtId="166" fontId="13" fillId="0" borderId="2" xfId="15" applyNumberFormat="1" applyFont="1" applyBorder="1" applyAlignment="1">
      <alignment horizontal="right" vertical="center"/>
    </xf>
    <xf numFmtId="166" fontId="16" fillId="0" borderId="31" xfId="15" applyNumberFormat="1" applyFont="1" applyBorder="1" applyAlignment="1">
      <alignment horizontal="right" vertical="center"/>
    </xf>
    <xf numFmtId="166" fontId="16" fillId="0" borderId="44" xfId="14" applyNumberFormat="1" applyFont="1" applyBorder="1" applyAlignment="1">
      <alignment horizontal="right" vertical="center" wrapText="1"/>
    </xf>
    <xf numFmtId="0" fontId="13" fillId="7" borderId="55" xfId="0" applyFont="1" applyFill="1" applyBorder="1" applyAlignment="1">
      <alignment vertical="center" wrapText="1"/>
    </xf>
    <xf numFmtId="4" fontId="23" fillId="0" borderId="50" xfId="0" applyNumberFormat="1" applyFont="1" applyBorder="1" applyAlignment="1">
      <alignment horizontal="right" vertical="center"/>
    </xf>
    <xf numFmtId="4" fontId="23" fillId="0" borderId="66" xfId="0" applyNumberFormat="1" applyFont="1" applyBorder="1" applyAlignment="1">
      <alignment horizontal="right" vertical="center"/>
    </xf>
    <xf numFmtId="4" fontId="13" fillId="8" borderId="22" xfId="0" applyNumberFormat="1" applyFont="1" applyFill="1" applyBorder="1" applyAlignment="1">
      <alignment vertical="center"/>
    </xf>
    <xf numFmtId="4" fontId="13" fillId="8" borderId="50" xfId="0" applyNumberFormat="1" applyFont="1" applyFill="1" applyBorder="1" applyAlignment="1">
      <alignment vertical="center"/>
    </xf>
    <xf numFmtId="4" fontId="39" fillId="8" borderId="22" xfId="0" applyNumberFormat="1" applyFont="1" applyFill="1" applyBorder="1" applyAlignment="1">
      <alignment vertical="center"/>
    </xf>
    <xf numFmtId="4" fontId="16" fillId="6" borderId="5" xfId="0" applyNumberFormat="1" applyFont="1" applyFill="1" applyBorder="1" applyAlignment="1">
      <alignment vertical="center" wrapText="1"/>
    </xf>
    <xf numFmtId="4" fontId="13" fillId="7" borderId="19" xfId="0" applyNumberFormat="1" applyFont="1" applyFill="1" applyBorder="1" applyAlignment="1">
      <alignment vertical="center"/>
    </xf>
    <xf numFmtId="3" fontId="13" fillId="0" borderId="1" xfId="0" applyNumberFormat="1" applyFont="1" applyBorder="1" applyAlignment="1">
      <alignment wrapText="1"/>
    </xf>
    <xf numFmtId="3" fontId="13" fillId="0" borderId="19" xfId="0" applyNumberFormat="1" applyFont="1" applyBorder="1" applyAlignment="1">
      <alignment wrapText="1"/>
    </xf>
    <xf numFmtId="4" fontId="13" fillId="0" borderId="7" xfId="0" applyNumberFormat="1" applyFont="1" applyBorder="1" applyAlignment="1">
      <alignment wrapText="1"/>
    </xf>
    <xf numFmtId="4" fontId="13" fillId="0" borderId="20" xfId="0" applyNumberFormat="1" applyFont="1" applyBorder="1" applyAlignment="1">
      <alignment wrapText="1"/>
    </xf>
    <xf numFmtId="4" fontId="13" fillId="0" borderId="12" xfId="1" applyNumberFormat="1" applyFont="1" applyBorder="1" applyAlignment="1">
      <alignment vertical="center"/>
    </xf>
    <xf numFmtId="0" fontId="43" fillId="7" borderId="47" xfId="0" applyFont="1" applyFill="1" applyBorder="1" applyAlignment="1">
      <alignment vertical="center" wrapText="1"/>
    </xf>
    <xf numFmtId="0" fontId="43" fillId="8" borderId="47" xfId="0" applyFont="1" applyFill="1" applyBorder="1" applyAlignment="1">
      <alignment vertical="center" wrapText="1"/>
    </xf>
    <xf numFmtId="0" fontId="44" fillId="7" borderId="47" xfId="0" applyFont="1" applyFill="1" applyBorder="1" applyAlignment="1">
      <alignment vertical="center" wrapText="1"/>
    </xf>
    <xf numFmtId="0" fontId="44" fillId="8" borderId="47" xfId="0" applyFont="1" applyFill="1" applyBorder="1" applyAlignment="1">
      <alignment vertical="center" wrapText="1"/>
    </xf>
    <xf numFmtId="0" fontId="13" fillId="5" borderId="2" xfId="14" applyFont="1" applyFill="1" applyBorder="1" applyAlignment="1">
      <alignment horizontal="center" vertical="center"/>
    </xf>
    <xf numFmtId="4" fontId="13" fillId="0" borderId="9" xfId="14" applyNumberFormat="1" applyFont="1" applyBorder="1" applyAlignment="1">
      <alignment horizontal="right" vertical="center"/>
    </xf>
    <xf numFmtId="3" fontId="12" fillId="0" borderId="0" xfId="14" applyNumberFormat="1" applyFont="1" applyAlignment="1">
      <alignment horizontal="left"/>
    </xf>
    <xf numFmtId="0" fontId="23" fillId="0" borderId="77" xfId="14" applyFont="1" applyBorder="1" applyAlignment="1">
      <alignment vertical="center" wrapText="1"/>
    </xf>
    <xf numFmtId="0" fontId="17" fillId="7" borderId="55" xfId="0" applyFont="1" applyFill="1" applyBorder="1" applyAlignment="1">
      <alignment vertical="center" wrapText="1"/>
    </xf>
    <xf numFmtId="4" fontId="17" fillId="3" borderId="10" xfId="0" applyNumberFormat="1" applyFont="1" applyFill="1" applyBorder="1" applyAlignment="1">
      <alignment vertical="center"/>
    </xf>
    <xf numFmtId="0" fontId="17" fillId="8" borderId="56" xfId="0" applyFont="1" applyFill="1" applyBorder="1" applyAlignment="1">
      <alignment vertical="center" wrapText="1"/>
    </xf>
    <xf numFmtId="4" fontId="17" fillId="8" borderId="6" xfId="0" applyNumberFormat="1" applyFont="1" applyFill="1" applyBorder="1" applyAlignment="1">
      <alignment vertical="center"/>
    </xf>
    <xf numFmtId="0" fontId="16" fillId="0" borderId="70" xfId="14" applyFont="1" applyBorder="1" applyAlignment="1">
      <alignment vertical="center" wrapText="1"/>
    </xf>
    <xf numFmtId="166" fontId="23" fillId="0" borderId="13" xfId="15" applyNumberFormat="1" applyFont="1" applyBorder="1" applyAlignment="1">
      <alignment horizontal="right" vertical="center"/>
    </xf>
    <xf numFmtId="2" fontId="12" fillId="0" borderId="0" xfId="14" applyNumberFormat="1" applyFont="1" applyAlignment="1">
      <alignment horizontal="left"/>
    </xf>
    <xf numFmtId="3" fontId="23" fillId="0" borderId="66" xfId="14" applyNumberFormat="1" applyFont="1" applyBorder="1" applyAlignment="1">
      <alignment vertical="center"/>
    </xf>
    <xf numFmtId="4" fontId="23" fillId="0" borderId="23" xfId="14" applyNumberFormat="1" applyFont="1" applyBorder="1" applyAlignment="1">
      <alignment vertical="center"/>
    </xf>
    <xf numFmtId="4" fontId="23" fillId="0" borderId="20" xfId="14" applyNumberFormat="1" applyFont="1" applyBorder="1" applyAlignment="1">
      <alignment horizontal="right" vertical="center"/>
    </xf>
    <xf numFmtId="4" fontId="23" fillId="0" borderId="79" xfId="14" applyNumberFormat="1" applyFont="1" applyBorder="1" applyAlignment="1">
      <alignment horizontal="right" vertical="center"/>
    </xf>
    <xf numFmtId="0" fontId="13" fillId="0" borderId="17" xfId="14" applyFont="1" applyBorder="1" applyAlignment="1">
      <alignment vertical="top"/>
    </xf>
    <xf numFmtId="0" fontId="16" fillId="5" borderId="3" xfId="14" applyFont="1" applyFill="1" applyBorder="1" applyAlignment="1">
      <alignment horizontal="center" vertical="center"/>
    </xf>
    <xf numFmtId="0" fontId="16" fillId="5" borderId="32" xfId="14" applyFont="1" applyFill="1" applyBorder="1" applyAlignment="1">
      <alignment horizontal="center" vertical="center"/>
    </xf>
    <xf numFmtId="4" fontId="16" fillId="0" borderId="45" xfId="20" applyNumberFormat="1" applyFont="1" applyBorder="1" applyAlignment="1">
      <alignment vertical="center"/>
    </xf>
    <xf numFmtId="166" fontId="16" fillId="0" borderId="1" xfId="20" applyNumberFormat="1" applyFont="1" applyBorder="1" applyAlignment="1">
      <alignment horizontal="right" vertical="center"/>
    </xf>
    <xf numFmtId="166" fontId="16" fillId="0" borderId="45" xfId="20" applyNumberFormat="1" applyFont="1" applyBorder="1" applyAlignment="1">
      <alignment horizontal="right" vertical="center" wrapText="1"/>
    </xf>
    <xf numFmtId="4" fontId="12" fillId="0" borderId="0" xfId="14" applyNumberFormat="1" applyFont="1"/>
    <xf numFmtId="4" fontId="15" fillId="0" borderId="0" xfId="14" applyNumberFormat="1" applyFont="1" applyAlignment="1">
      <alignment horizontal="right" vertical="center"/>
    </xf>
    <xf numFmtId="0" fontId="45" fillId="0" borderId="0" xfId="0" applyFont="1"/>
    <xf numFmtId="2" fontId="11" fillId="0" borderId="0" xfId="14" applyNumberFormat="1" applyFont="1" applyAlignment="1">
      <alignment horizontal="left" vertical="center" wrapText="1"/>
    </xf>
    <xf numFmtId="165" fontId="13" fillId="0" borderId="18" xfId="0" applyNumberFormat="1" applyFont="1" applyBorder="1" applyAlignment="1">
      <alignment horizontal="right"/>
    </xf>
    <xf numFmtId="0" fontId="14" fillId="0" borderId="0" xfId="0" applyFont="1" applyAlignment="1">
      <alignment wrapText="1"/>
    </xf>
    <xf numFmtId="4" fontId="13" fillId="0" borderId="41" xfId="14" applyNumberFormat="1" applyFont="1" applyBorder="1" applyAlignment="1">
      <alignment horizontal="right" vertical="center"/>
    </xf>
    <xf numFmtId="4" fontId="16" fillId="0" borderId="42" xfId="14" applyNumberFormat="1" applyFont="1" applyBorder="1" applyAlignment="1">
      <alignment horizontal="right" vertical="center"/>
    </xf>
    <xf numFmtId="0" fontId="23" fillId="0" borderId="25" xfId="14" applyFont="1" applyBorder="1" applyAlignment="1">
      <alignment vertical="center" wrapText="1"/>
    </xf>
    <xf numFmtId="3" fontId="13" fillId="0" borderId="50" xfId="0" applyNumberFormat="1" applyFont="1" applyBorder="1" applyAlignment="1">
      <alignment horizontal="right"/>
    </xf>
    <xf numFmtId="4" fontId="13" fillId="0" borderId="22" xfId="0" applyNumberFormat="1" applyFont="1" applyBorder="1" applyAlignment="1">
      <alignment horizontal="right"/>
    </xf>
    <xf numFmtId="3" fontId="16" fillId="0" borderId="5" xfId="0" applyNumberFormat="1" applyFont="1" applyBorder="1" applyAlignment="1">
      <alignment horizontal="right" vertical="center"/>
    </xf>
    <xf numFmtId="4" fontId="16" fillId="0" borderId="16" xfId="0" applyNumberFormat="1" applyFont="1" applyBorder="1" applyAlignment="1">
      <alignment horizontal="right" vertical="center"/>
    </xf>
    <xf numFmtId="3" fontId="16" fillId="0" borderId="48" xfId="0" applyNumberFormat="1" applyFont="1" applyBorder="1" applyAlignment="1">
      <alignment horizontal="right" vertical="center"/>
    </xf>
    <xf numFmtId="4" fontId="16" fillId="0" borderId="6" xfId="0" applyNumberFormat="1" applyFont="1" applyBorder="1" applyAlignment="1">
      <alignment horizontal="right" vertical="center"/>
    </xf>
    <xf numFmtId="4" fontId="16" fillId="0" borderId="36" xfId="0" applyNumberFormat="1" applyFont="1" applyBorder="1" applyAlignment="1">
      <alignment horizontal="right" vertical="center"/>
    </xf>
    <xf numFmtId="0" fontId="46" fillId="0" borderId="0" xfId="0" applyFont="1"/>
    <xf numFmtId="0" fontId="16" fillId="0" borderId="13" xfId="14" applyFont="1" applyBorder="1" applyAlignment="1">
      <alignment vertical="center"/>
    </xf>
    <xf numFmtId="3" fontId="13" fillId="0" borderId="3" xfId="14" applyNumberFormat="1" applyFont="1" applyBorder="1" applyAlignment="1">
      <alignment vertical="center"/>
    </xf>
    <xf numFmtId="4" fontId="13" fillId="0" borderId="50" xfId="14" applyNumberFormat="1" applyFont="1" applyBorder="1" applyAlignment="1">
      <alignment vertical="center"/>
    </xf>
    <xf numFmtId="4" fontId="13" fillId="0" borderId="26" xfId="14" applyNumberFormat="1" applyFont="1" applyBorder="1" applyAlignment="1">
      <alignment horizontal="right" vertical="center"/>
    </xf>
    <xf numFmtId="166" fontId="13" fillId="0" borderId="41" xfId="14" applyNumberFormat="1" applyFont="1" applyBorder="1" applyAlignment="1">
      <alignment horizontal="right" vertical="center" wrapText="1"/>
    </xf>
    <xf numFmtId="166" fontId="23" fillId="0" borderId="42" xfId="14" applyNumberFormat="1" applyFont="1" applyBorder="1" applyAlignment="1">
      <alignment horizontal="right" vertical="center" wrapText="1"/>
    </xf>
    <xf numFmtId="0" fontId="46" fillId="0" borderId="41" xfId="0" applyFont="1" applyBorder="1" applyAlignment="1">
      <alignment vertical="center" wrapText="1"/>
    </xf>
    <xf numFmtId="165" fontId="16" fillId="6" borderId="10" xfId="0" applyNumberFormat="1" applyFont="1" applyFill="1" applyBorder="1" applyAlignment="1">
      <alignment horizontal="right" vertical="center"/>
    </xf>
    <xf numFmtId="165" fontId="13" fillId="7" borderId="26" xfId="0" applyNumberFormat="1" applyFont="1" applyFill="1" applyBorder="1" applyAlignment="1">
      <alignment horizontal="right" vertical="center"/>
    </xf>
    <xf numFmtId="165" fontId="17" fillId="7" borderId="10" xfId="0" applyNumberFormat="1" applyFont="1" applyFill="1" applyBorder="1" applyAlignment="1">
      <alignment horizontal="right" vertical="center"/>
    </xf>
    <xf numFmtId="165" fontId="13" fillId="8" borderId="26" xfId="0" applyNumberFormat="1" applyFont="1" applyFill="1" applyBorder="1" applyAlignment="1">
      <alignment horizontal="right" vertical="center"/>
    </xf>
    <xf numFmtId="165" fontId="17" fillId="8" borderId="10" xfId="0" applyNumberFormat="1" applyFont="1" applyFill="1" applyBorder="1" applyAlignment="1">
      <alignment horizontal="right" vertical="center"/>
    </xf>
    <xf numFmtId="0" fontId="11" fillId="0" borderId="76" xfId="0" applyFont="1" applyBorder="1" applyAlignment="1">
      <alignment vertical="center" wrapText="1"/>
    </xf>
    <xf numFmtId="4" fontId="12" fillId="0" borderId="76" xfId="0" applyNumberFormat="1" applyFont="1" applyBorder="1" applyAlignment="1">
      <alignment vertical="center"/>
    </xf>
    <xf numFmtId="165" fontId="11" fillId="0" borderId="76" xfId="0" applyNumberFormat="1" applyFont="1" applyBorder="1" applyAlignment="1">
      <alignment vertical="center"/>
    </xf>
    <xf numFmtId="4" fontId="17" fillId="0" borderId="76" xfId="0" applyNumberFormat="1" applyFont="1" applyBorder="1" applyAlignment="1">
      <alignment vertical="center"/>
    </xf>
    <xf numFmtId="165" fontId="11" fillId="0" borderId="65" xfId="0" applyNumberFormat="1" applyFont="1" applyBorder="1" applyAlignment="1">
      <alignment vertical="center"/>
    </xf>
    <xf numFmtId="4" fontId="17" fillId="3" borderId="61" xfId="15" applyNumberFormat="1" applyFont="1" applyFill="1" applyBorder="1" applyAlignment="1">
      <alignment horizontal="center" vertical="center" wrapText="1"/>
    </xf>
    <xf numFmtId="4" fontId="16" fillId="0" borderId="0" xfId="14" applyNumberFormat="1" applyFont="1" applyAlignment="1">
      <alignment vertical="center"/>
    </xf>
    <xf numFmtId="4" fontId="11" fillId="0" borderId="0" xfId="14" applyNumberFormat="1" applyFont="1" applyAlignment="1">
      <alignment horizontal="right" vertical="center"/>
    </xf>
    <xf numFmtId="4" fontId="17" fillId="10" borderId="31" xfId="15" applyNumberFormat="1" applyFont="1" applyFill="1" applyBorder="1" applyAlignment="1">
      <alignment horizontal="center" vertical="center" wrapText="1"/>
    </xf>
    <xf numFmtId="4" fontId="17" fillId="9" borderId="30" xfId="15" applyNumberFormat="1" applyFont="1" applyFill="1" applyBorder="1" applyAlignment="1">
      <alignment horizontal="center" vertical="center" wrapText="1"/>
    </xf>
    <xf numFmtId="4" fontId="17" fillId="11" borderId="44" xfId="15" applyNumberFormat="1" applyFont="1" applyFill="1" applyBorder="1" applyAlignment="1">
      <alignment horizontal="center" vertical="center" wrapText="1"/>
    </xf>
    <xf numFmtId="4" fontId="16" fillId="0" borderId="13" xfId="14" applyNumberFormat="1" applyFont="1" applyBorder="1" applyAlignment="1">
      <alignment horizontal="right" vertical="center"/>
    </xf>
    <xf numFmtId="4" fontId="16" fillId="5" borderId="0" xfId="14" applyNumberFormat="1" applyFont="1" applyFill="1" applyAlignment="1">
      <alignment vertical="center"/>
    </xf>
    <xf numFmtId="4" fontId="13" fillId="0" borderId="0" xfId="20" applyNumberFormat="1" applyFont="1" applyAlignment="1">
      <alignment horizontal="right" vertical="center"/>
    </xf>
    <xf numFmtId="4" fontId="14" fillId="0" borderId="0" xfId="0" applyNumberFormat="1" applyFont="1" applyAlignment="1">
      <alignment wrapText="1"/>
    </xf>
    <xf numFmtId="4" fontId="11" fillId="0" borderId="0" xfId="0" applyNumberFormat="1" applyFont="1" applyAlignment="1">
      <alignment horizontal="left" wrapText="1"/>
    </xf>
    <xf numFmtId="4" fontId="11" fillId="0" borderId="0" xfId="0" applyNumberFormat="1" applyFont="1" applyAlignment="1">
      <alignment horizontal="right" wrapText="1"/>
    </xf>
    <xf numFmtId="4" fontId="11" fillId="0" borderId="0" xfId="0" applyNumberFormat="1" applyFont="1" applyAlignment="1">
      <alignment horizontal="right"/>
    </xf>
    <xf numFmtId="3" fontId="16" fillId="0" borderId="8" xfId="14" applyNumberFormat="1" applyFont="1" applyBorder="1" applyAlignment="1">
      <alignment horizontal="right" vertical="center"/>
    </xf>
    <xf numFmtId="3" fontId="17" fillId="3" borderId="18" xfId="0" applyNumberFormat="1" applyFont="1" applyFill="1" applyBorder="1" applyAlignment="1">
      <alignment vertical="center"/>
    </xf>
    <xf numFmtId="3" fontId="13" fillId="3" borderId="12" xfId="0" applyNumberFormat="1" applyFont="1" applyFill="1" applyBorder="1" applyAlignment="1">
      <alignment vertical="center"/>
    </xf>
    <xf numFmtId="4" fontId="17" fillId="0" borderId="65" xfId="0" applyNumberFormat="1" applyFont="1" applyBorder="1" applyAlignment="1">
      <alignment vertical="center"/>
    </xf>
    <xf numFmtId="4" fontId="13" fillId="0" borderId="0" xfId="14" applyNumberFormat="1" applyFont="1" applyAlignment="1">
      <alignment horizontal="left" vertical="center"/>
    </xf>
    <xf numFmtId="3" fontId="17" fillId="3" borderId="12" xfId="0" applyNumberFormat="1" applyFont="1" applyFill="1" applyBorder="1"/>
    <xf numFmtId="3" fontId="16" fillId="3" borderId="10" xfId="0" applyNumberFormat="1" applyFont="1" applyFill="1" applyBorder="1"/>
    <xf numFmtId="4" fontId="17" fillId="8" borderId="5" xfId="0" applyNumberFormat="1" applyFont="1" applyFill="1" applyBorder="1" applyAlignment="1">
      <alignment vertical="center"/>
    </xf>
    <xf numFmtId="4" fontId="17" fillId="8" borderId="24" xfId="0" applyNumberFormat="1" applyFont="1" applyFill="1" applyBorder="1" applyAlignment="1">
      <alignment vertical="center"/>
    </xf>
    <xf numFmtId="4" fontId="16" fillId="6" borderId="24" xfId="0" applyNumberFormat="1" applyFont="1" applyFill="1" applyBorder="1" applyAlignment="1">
      <alignment vertical="center"/>
    </xf>
    <xf numFmtId="4" fontId="23" fillId="0" borderId="41" xfId="14" applyNumberFormat="1" applyFont="1" applyBorder="1" applyAlignment="1">
      <alignment horizontal="right" vertical="center"/>
    </xf>
    <xf numFmtId="4" fontId="17" fillId="7" borderId="66" xfId="0" applyNumberFormat="1" applyFont="1" applyFill="1" applyBorder="1" applyAlignment="1">
      <alignment vertical="center"/>
    </xf>
    <xf numFmtId="4" fontId="17" fillId="7" borderId="5" xfId="0" applyNumberFormat="1" applyFont="1" applyFill="1" applyBorder="1" applyAlignment="1">
      <alignment vertical="center"/>
    </xf>
    <xf numFmtId="4" fontId="13" fillId="8" borderId="5" xfId="0" applyNumberFormat="1" applyFont="1" applyFill="1" applyBorder="1" applyAlignment="1">
      <alignment vertical="center"/>
    </xf>
    <xf numFmtId="4" fontId="12" fillId="0" borderId="72" xfId="0" applyNumberFormat="1" applyFont="1" applyBorder="1" applyAlignment="1">
      <alignment vertical="center"/>
    </xf>
    <xf numFmtId="4" fontId="23" fillId="0" borderId="8" xfId="14" applyNumberFormat="1" applyFont="1" applyBorder="1" applyAlignment="1">
      <alignment vertical="center"/>
    </xf>
    <xf numFmtId="165" fontId="23" fillId="0" borderId="3" xfId="15" applyNumberFormat="1" applyFont="1" applyBorder="1" applyAlignment="1">
      <alignment horizontal="right" vertical="center"/>
    </xf>
    <xf numFmtId="165" fontId="23" fillId="0" borderId="43" xfId="14" applyNumberFormat="1" applyFont="1" applyBorder="1" applyAlignment="1">
      <alignment horizontal="right" vertical="center" wrapText="1"/>
    </xf>
    <xf numFmtId="4" fontId="13" fillId="0" borderId="70" xfId="14" applyNumberFormat="1" applyFont="1" applyBorder="1" applyAlignment="1">
      <alignment horizontal="right" vertical="center"/>
    </xf>
    <xf numFmtId="4" fontId="23" fillId="0" borderId="9" xfId="14" applyNumberFormat="1" applyFont="1" applyBorder="1" applyAlignment="1">
      <alignment vertical="center"/>
    </xf>
    <xf numFmtId="0" fontId="23" fillId="5" borderId="8" xfId="14" applyFont="1" applyFill="1" applyBorder="1" applyAlignment="1">
      <alignment vertical="center" wrapText="1"/>
    </xf>
    <xf numFmtId="166" fontId="16" fillId="0" borderId="64" xfId="15" applyNumberFormat="1" applyFont="1" applyBorder="1" applyAlignment="1">
      <alignment horizontal="right" vertical="center"/>
    </xf>
    <xf numFmtId="0" fontId="23" fillId="0" borderId="22" xfId="14" applyFont="1" applyBorder="1" applyAlignment="1">
      <alignment horizontal="left" vertical="center" wrapText="1"/>
    </xf>
    <xf numFmtId="4" fontId="13" fillId="5" borderId="8" xfId="14" applyNumberFormat="1" applyFont="1" applyFill="1" applyBorder="1" applyAlignment="1">
      <alignment horizontal="right" vertical="center"/>
    </xf>
    <xf numFmtId="4" fontId="13" fillId="5" borderId="15" xfId="14" applyNumberFormat="1" applyFont="1" applyFill="1" applyBorder="1" applyAlignment="1">
      <alignment horizontal="right" vertical="center"/>
    </xf>
    <xf numFmtId="4" fontId="13" fillId="5" borderId="77" xfId="14" applyNumberFormat="1" applyFont="1" applyFill="1" applyBorder="1" applyAlignment="1">
      <alignment horizontal="right" vertical="center"/>
    </xf>
    <xf numFmtId="4" fontId="13" fillId="5" borderId="70" xfId="14" applyNumberFormat="1" applyFont="1" applyFill="1" applyBorder="1" applyAlignment="1">
      <alignment horizontal="right" vertical="center"/>
    </xf>
    <xf numFmtId="4" fontId="16" fillId="5" borderId="70" xfId="14" applyNumberFormat="1" applyFont="1" applyFill="1" applyBorder="1" applyAlignment="1">
      <alignment horizontal="right" vertical="center"/>
    </xf>
    <xf numFmtId="3" fontId="16" fillId="5" borderId="70" xfId="14" applyNumberFormat="1" applyFont="1" applyFill="1" applyBorder="1" applyAlignment="1">
      <alignment horizontal="right" vertical="center"/>
    </xf>
    <xf numFmtId="4" fontId="16" fillId="5" borderId="71" xfId="14" applyNumberFormat="1" applyFont="1" applyFill="1" applyBorder="1" applyAlignment="1">
      <alignment horizontal="right" vertical="center"/>
    </xf>
    <xf numFmtId="3" fontId="16" fillId="5" borderId="51" xfId="14" applyNumberFormat="1" applyFont="1" applyFill="1" applyBorder="1" applyAlignment="1">
      <alignment horizontal="right" vertical="center"/>
    </xf>
    <xf numFmtId="4" fontId="16" fillId="5" borderId="37" xfId="14" applyNumberFormat="1" applyFont="1" applyFill="1" applyBorder="1" applyAlignment="1">
      <alignment horizontal="right" vertical="center"/>
    </xf>
    <xf numFmtId="4" fontId="16" fillId="5" borderId="41" xfId="14" applyNumberFormat="1" applyFont="1" applyFill="1" applyBorder="1" applyAlignment="1">
      <alignment vertical="center"/>
    </xf>
    <xf numFmtId="4" fontId="23" fillId="0" borderId="15" xfId="14" applyNumberFormat="1" applyFont="1" applyBorder="1" applyAlignment="1">
      <alignment vertical="center"/>
    </xf>
    <xf numFmtId="4" fontId="23" fillId="0" borderId="25" xfId="14" applyNumberFormat="1" applyFont="1" applyBorder="1" applyAlignment="1">
      <alignment vertical="center"/>
    </xf>
    <xf numFmtId="4" fontId="23" fillId="0" borderId="51" xfId="14" applyNumberFormat="1" applyFont="1" applyBorder="1" applyAlignment="1">
      <alignment vertical="center"/>
    </xf>
    <xf numFmtId="3" fontId="23" fillId="0" borderId="81" xfId="14" applyNumberFormat="1" applyFont="1" applyBorder="1" applyAlignment="1">
      <alignment horizontal="right" vertical="center"/>
    </xf>
    <xf numFmtId="4" fontId="23" fillId="0" borderId="82" xfId="14" applyNumberFormat="1" applyFont="1" applyBorder="1" applyAlignment="1">
      <alignment vertical="center"/>
    </xf>
    <xf numFmtId="3" fontId="23" fillId="0" borderId="3" xfId="14" applyNumberFormat="1" applyFont="1" applyBorder="1" applyAlignment="1">
      <alignment horizontal="right" vertical="center"/>
    </xf>
    <xf numFmtId="3" fontId="23" fillId="0" borderId="51" xfId="14" applyNumberFormat="1" applyFont="1" applyBorder="1" applyAlignment="1">
      <alignment horizontal="right" vertical="center"/>
    </xf>
    <xf numFmtId="3" fontId="16" fillId="5" borderId="1" xfId="14" applyNumberFormat="1" applyFont="1" applyFill="1" applyBorder="1" applyAlignment="1">
      <alignment vertical="center"/>
    </xf>
    <xf numFmtId="4" fontId="16" fillId="5" borderId="21" xfId="14" applyNumberFormat="1" applyFont="1" applyFill="1" applyBorder="1" applyAlignment="1">
      <alignment horizontal="right" vertical="center"/>
    </xf>
    <xf numFmtId="4" fontId="16" fillId="5" borderId="7" xfId="14" applyNumberFormat="1" applyFont="1" applyFill="1" applyBorder="1" applyAlignment="1">
      <alignment horizontal="right" vertical="center"/>
    </xf>
    <xf numFmtId="3" fontId="23" fillId="0" borderId="50" xfId="14" applyNumberFormat="1" applyFont="1" applyBorder="1" applyAlignment="1">
      <alignment horizontal="right" vertical="center"/>
    </xf>
    <xf numFmtId="3" fontId="47" fillId="6" borderId="5" xfId="0" applyNumberFormat="1" applyFont="1" applyFill="1" applyBorder="1" applyAlignment="1">
      <alignment horizontal="right" wrapText="1"/>
    </xf>
    <xf numFmtId="4" fontId="47" fillId="6" borderId="6" xfId="0" applyNumberFormat="1" applyFont="1" applyFill="1" applyBorder="1" applyAlignment="1">
      <alignment wrapText="1"/>
    </xf>
    <xf numFmtId="4" fontId="47" fillId="6" borderId="36" xfId="0" applyNumberFormat="1" applyFont="1" applyFill="1" applyBorder="1" applyAlignment="1">
      <alignment wrapText="1"/>
    </xf>
    <xf numFmtId="3" fontId="47" fillId="6" borderId="5" xfId="0" applyNumberFormat="1" applyFont="1" applyFill="1" applyBorder="1" applyAlignment="1">
      <alignment wrapText="1"/>
    </xf>
    <xf numFmtId="4" fontId="47" fillId="6" borderId="5" xfId="0" applyNumberFormat="1" applyFont="1" applyFill="1" applyBorder="1" applyAlignment="1">
      <alignment wrapText="1"/>
    </xf>
    <xf numFmtId="0" fontId="13" fillId="0" borderId="0" xfId="0" applyFont="1" applyAlignment="1">
      <alignment vertical="center"/>
    </xf>
    <xf numFmtId="0" fontId="13" fillId="0" borderId="0" xfId="1" applyFont="1" applyAlignment="1">
      <alignment vertical="center"/>
    </xf>
    <xf numFmtId="0" fontId="16" fillId="0" borderId="38" xfId="14" applyFont="1" applyBorder="1" applyAlignment="1">
      <alignment vertical="center" wrapText="1"/>
    </xf>
    <xf numFmtId="0" fontId="16" fillId="0" borderId="32" xfId="14" applyFont="1" applyBorder="1" applyAlignment="1">
      <alignment horizontal="center" vertical="center"/>
    </xf>
    <xf numFmtId="4" fontId="13" fillId="7" borderId="22" xfId="0" applyNumberFormat="1" applyFont="1" applyFill="1" applyBorder="1" applyAlignment="1">
      <alignment vertical="center"/>
    </xf>
    <xf numFmtId="4" fontId="13" fillId="7" borderId="23" xfId="0" applyNumberFormat="1" applyFont="1" applyFill="1" applyBorder="1" applyAlignment="1">
      <alignment vertical="center"/>
    </xf>
    <xf numFmtId="4" fontId="13" fillId="8" borderId="26" xfId="0" applyNumberFormat="1" applyFont="1" applyFill="1" applyBorder="1" applyAlignment="1">
      <alignment vertical="center"/>
    </xf>
    <xf numFmtId="4" fontId="16" fillId="6" borderId="48" xfId="0" applyNumberFormat="1" applyFont="1" applyFill="1" applyBorder="1" applyAlignment="1">
      <alignment vertical="center"/>
    </xf>
    <xf numFmtId="4" fontId="13" fillId="8" borderId="24" xfId="0" applyNumberFormat="1" applyFont="1" applyFill="1" applyBorder="1" applyAlignment="1">
      <alignment vertical="center"/>
    </xf>
    <xf numFmtId="4" fontId="17" fillId="7" borderId="24" xfId="0" applyNumberFormat="1" applyFont="1" applyFill="1" applyBorder="1" applyAlignment="1">
      <alignment vertical="center"/>
    </xf>
    <xf numFmtId="4" fontId="13" fillId="7" borderId="26" xfId="0" applyNumberFormat="1" applyFont="1" applyFill="1" applyBorder="1" applyAlignment="1">
      <alignment vertical="center"/>
    </xf>
    <xf numFmtId="4" fontId="13" fillId="7" borderId="50" xfId="0" applyNumberFormat="1" applyFont="1" applyFill="1" applyBorder="1" applyAlignment="1">
      <alignment vertical="center"/>
    </xf>
    <xf numFmtId="4" fontId="17" fillId="0" borderId="69" xfId="0" applyNumberFormat="1" applyFont="1" applyBorder="1" applyAlignment="1">
      <alignment horizontal="right" vertical="center"/>
    </xf>
    <xf numFmtId="3" fontId="17" fillId="0" borderId="1" xfId="0" applyNumberFormat="1" applyFont="1" applyBorder="1" applyAlignment="1">
      <alignment horizontal="right" vertical="center"/>
    </xf>
    <xf numFmtId="3" fontId="16" fillId="0" borderId="13" xfId="14" applyNumberFormat="1" applyFont="1" applyBorder="1" applyAlignment="1">
      <alignment horizontal="right" vertical="center"/>
    </xf>
    <xf numFmtId="0" fontId="23" fillId="0" borderId="15" xfId="14" applyFont="1" applyBorder="1" applyAlignment="1">
      <alignment vertical="center" wrapText="1"/>
    </xf>
    <xf numFmtId="0" fontId="46" fillId="0" borderId="0" xfId="0" applyFont="1" applyAlignment="1">
      <alignment horizontal="center" vertical="center"/>
    </xf>
    <xf numFmtId="166" fontId="16" fillId="0" borderId="49" xfId="15" applyNumberFormat="1" applyFont="1" applyBorder="1" applyAlignment="1">
      <alignment horizontal="right" vertical="center"/>
    </xf>
    <xf numFmtId="3" fontId="23" fillId="0" borderId="13" xfId="14" applyNumberFormat="1" applyFont="1" applyBorder="1"/>
    <xf numFmtId="4" fontId="23" fillId="0" borderId="25" xfId="14" applyNumberFormat="1" applyFont="1" applyBorder="1"/>
    <xf numFmtId="3" fontId="23" fillId="0" borderId="2" xfId="14" applyNumberFormat="1" applyFont="1" applyBorder="1"/>
    <xf numFmtId="4" fontId="23" fillId="0" borderId="22" xfId="14" applyNumberFormat="1" applyFont="1" applyBorder="1"/>
    <xf numFmtId="165" fontId="23" fillId="0" borderId="3" xfId="14" applyNumberFormat="1" applyFont="1" applyBorder="1" applyAlignment="1">
      <alignment vertical="center"/>
    </xf>
    <xf numFmtId="4" fontId="17" fillId="7" borderId="6" xfId="0" applyNumberFormat="1" applyFont="1" applyFill="1" applyBorder="1" applyAlignment="1">
      <alignment vertical="center"/>
    </xf>
    <xf numFmtId="4" fontId="17" fillId="7" borderId="16" xfId="0" applyNumberFormat="1" applyFont="1" applyFill="1" applyBorder="1" applyAlignment="1">
      <alignment vertical="center"/>
    </xf>
    <xf numFmtId="14" fontId="16" fillId="0" borderId="56" xfId="0" applyNumberFormat="1" applyFont="1" applyBorder="1" applyAlignment="1">
      <alignment horizontal="center" vertical="center" wrapText="1"/>
    </xf>
    <xf numFmtId="3" fontId="16" fillId="0" borderId="5" xfId="0" applyNumberFormat="1" applyFont="1" applyBorder="1" applyAlignment="1">
      <alignment horizontal="center" vertical="center"/>
    </xf>
    <xf numFmtId="169" fontId="13" fillId="0" borderId="0" xfId="0" applyNumberFormat="1" applyFont="1" applyAlignment="1">
      <alignment vertical="center"/>
    </xf>
    <xf numFmtId="4" fontId="48" fillId="3" borderId="12" xfId="0" applyNumberFormat="1" applyFont="1" applyFill="1" applyBorder="1" applyAlignment="1">
      <alignment vertical="center"/>
    </xf>
    <xf numFmtId="0" fontId="49" fillId="7" borderId="47" xfId="0" applyFont="1" applyFill="1" applyBorder="1" applyAlignment="1">
      <alignment vertical="center" wrapText="1"/>
    </xf>
    <xf numFmtId="4" fontId="49" fillId="7" borderId="2" xfId="0" applyNumberFormat="1" applyFont="1" applyFill="1" applyBorder="1" applyAlignment="1">
      <alignment vertical="center"/>
    </xf>
    <xf numFmtId="4" fontId="49" fillId="7" borderId="41" xfId="0" applyNumberFormat="1" applyFont="1" applyFill="1" applyBorder="1" applyAlignment="1">
      <alignment vertical="center"/>
    </xf>
    <xf numFmtId="4" fontId="49" fillId="7" borderId="8" xfId="0" applyNumberFormat="1" applyFont="1" applyFill="1" applyBorder="1" applyAlignment="1">
      <alignment vertical="center"/>
    </xf>
    <xf numFmtId="0" fontId="49" fillId="8" borderId="47" xfId="0" applyFont="1" applyFill="1" applyBorder="1" applyAlignment="1">
      <alignment vertical="center" wrapText="1"/>
    </xf>
    <xf numFmtId="4" fontId="49" fillId="8" borderId="2" xfId="0" applyNumberFormat="1" applyFont="1" applyFill="1" applyBorder="1" applyAlignment="1">
      <alignment vertical="center"/>
    </xf>
    <xf numFmtId="4" fontId="49" fillId="8" borderId="50" xfId="0" applyNumberFormat="1" applyFont="1" applyFill="1" applyBorder="1" applyAlignment="1">
      <alignment vertical="center"/>
    </xf>
    <xf numFmtId="4" fontId="49" fillId="8" borderId="8" xfId="0" applyNumberFormat="1" applyFont="1" applyFill="1" applyBorder="1" applyAlignment="1">
      <alignment vertical="center"/>
    </xf>
    <xf numFmtId="4" fontId="49" fillId="8" borderId="41" xfId="0" applyNumberFormat="1" applyFont="1" applyFill="1" applyBorder="1" applyAlignment="1">
      <alignment vertical="center"/>
    </xf>
    <xf numFmtId="165" fontId="15" fillId="6" borderId="10" xfId="0" applyNumberFormat="1" applyFont="1" applyFill="1" applyBorder="1" applyAlignment="1">
      <alignment horizontal="right" vertical="center"/>
    </xf>
    <xf numFmtId="3" fontId="17" fillId="3" borderId="18" xfId="0" applyNumberFormat="1" applyFont="1" applyFill="1" applyBorder="1"/>
    <xf numFmtId="3" fontId="17" fillId="3" borderId="11" xfId="0" applyNumberFormat="1" applyFont="1" applyFill="1" applyBorder="1"/>
    <xf numFmtId="3" fontId="27" fillId="3" borderId="18" xfId="0" applyNumberFormat="1" applyFont="1" applyFill="1" applyBorder="1"/>
    <xf numFmtId="3" fontId="27" fillId="3" borderId="12" xfId="0" applyNumberFormat="1" applyFont="1" applyFill="1" applyBorder="1"/>
    <xf numFmtId="3" fontId="27" fillId="3" borderId="11" xfId="0" applyNumberFormat="1" applyFont="1" applyFill="1" applyBorder="1"/>
    <xf numFmtId="3" fontId="47" fillId="3" borderId="10" xfId="0" applyNumberFormat="1" applyFont="1" applyFill="1" applyBorder="1"/>
    <xf numFmtId="4" fontId="16" fillId="0" borderId="36" xfId="0" applyNumberFormat="1" applyFont="1" applyBorder="1"/>
    <xf numFmtId="0" fontId="38" fillId="0" borderId="0" xfId="0" applyFont="1"/>
    <xf numFmtId="4" fontId="23" fillId="5" borderId="15" xfId="0" applyNumberFormat="1" applyFont="1" applyFill="1" applyBorder="1" applyAlignment="1">
      <alignment vertical="center"/>
    </xf>
    <xf numFmtId="0" fontId="23" fillId="0" borderId="77" xfId="0" applyFont="1" applyBorder="1" applyAlignment="1">
      <alignment vertical="center" wrapText="1"/>
    </xf>
    <xf numFmtId="166" fontId="13" fillId="0" borderId="0" xfId="0" applyNumberFormat="1" applyFont="1" applyAlignment="1">
      <alignment vertical="center"/>
    </xf>
    <xf numFmtId="4" fontId="16" fillId="0" borderId="8" xfId="14" applyNumberFormat="1" applyFont="1" applyBorder="1" applyAlignment="1">
      <alignment vertical="center"/>
    </xf>
    <xf numFmtId="165" fontId="17" fillId="0" borderId="21" xfId="0" applyNumberFormat="1" applyFont="1" applyBorder="1" applyAlignment="1">
      <alignment vertical="center"/>
    </xf>
    <xf numFmtId="0" fontId="23" fillId="5" borderId="70" xfId="14" applyFont="1" applyFill="1" applyBorder="1" applyAlignment="1">
      <alignment vertical="center" wrapText="1"/>
    </xf>
    <xf numFmtId="166" fontId="23" fillId="0" borderId="13" xfId="15" applyNumberFormat="1" applyFont="1" applyBorder="1" applyAlignment="1">
      <alignment vertical="center"/>
    </xf>
    <xf numFmtId="166" fontId="23" fillId="0" borderId="42" xfId="14" applyNumberFormat="1" applyFont="1" applyBorder="1" applyAlignment="1">
      <alignment vertical="center" wrapText="1"/>
    </xf>
    <xf numFmtId="3" fontId="16" fillId="0" borderId="60" xfId="15" applyNumberFormat="1" applyFont="1" applyBorder="1"/>
    <xf numFmtId="4" fontId="16" fillId="0" borderId="27" xfId="15" applyNumberFormat="1" applyFont="1" applyBorder="1"/>
    <xf numFmtId="4" fontId="23" fillId="0" borderId="19" xfId="14" applyNumberFormat="1" applyFont="1" applyBorder="1" applyAlignment="1">
      <alignment horizontal="right" vertical="center"/>
    </xf>
    <xf numFmtId="3" fontId="13" fillId="0" borderId="2" xfId="0" applyNumberFormat="1" applyFont="1" applyBorder="1" applyAlignment="1">
      <alignment horizontal="right"/>
    </xf>
    <xf numFmtId="4" fontId="13" fillId="6" borderId="44" xfId="1" applyNumberFormat="1" applyFont="1" applyFill="1" applyBorder="1" applyAlignment="1">
      <alignment horizontal="center" vertical="center" wrapText="1"/>
    </xf>
    <xf numFmtId="3" fontId="13" fillId="0" borderId="70" xfId="0" applyNumberFormat="1" applyFont="1" applyBorder="1"/>
    <xf numFmtId="3" fontId="13" fillId="0" borderId="54" xfId="0" applyNumberFormat="1" applyFont="1" applyBorder="1"/>
    <xf numFmtId="4" fontId="13" fillId="0" borderId="45" xfId="0" applyNumberFormat="1" applyFont="1" applyBorder="1"/>
    <xf numFmtId="3" fontId="13" fillId="0" borderId="47" xfId="0" applyNumberFormat="1" applyFont="1" applyBorder="1"/>
    <xf numFmtId="3" fontId="13" fillId="0" borderId="55" xfId="0" applyNumberFormat="1" applyFont="1" applyBorder="1"/>
    <xf numFmtId="4" fontId="13" fillId="0" borderId="46" xfId="0" applyNumberFormat="1" applyFont="1" applyBorder="1"/>
    <xf numFmtId="3" fontId="30" fillId="0" borderId="2" xfId="0" applyNumberFormat="1" applyFont="1" applyBorder="1" applyAlignment="1">
      <alignment wrapText="1"/>
    </xf>
    <xf numFmtId="4" fontId="30" fillId="0" borderId="8" xfId="0" applyNumberFormat="1" applyFont="1" applyBorder="1" applyAlignment="1">
      <alignment wrapText="1"/>
    </xf>
    <xf numFmtId="0" fontId="16" fillId="0" borderId="13" xfId="19" applyFont="1" applyBorder="1" applyAlignment="1">
      <alignment horizontal="center" vertical="center"/>
    </xf>
    <xf numFmtId="3" fontId="16" fillId="5" borderId="7" xfId="14" applyNumberFormat="1" applyFont="1" applyFill="1" applyBorder="1" applyAlignment="1">
      <alignment horizontal="right" vertical="center"/>
    </xf>
    <xf numFmtId="3" fontId="16" fillId="5" borderId="8" xfId="14" applyNumberFormat="1" applyFont="1" applyFill="1" applyBorder="1" applyAlignment="1">
      <alignment horizontal="right" vertical="center"/>
    </xf>
    <xf numFmtId="3" fontId="16" fillId="5" borderId="9" xfId="14" applyNumberFormat="1" applyFont="1" applyFill="1" applyBorder="1" applyAlignment="1">
      <alignment horizontal="right" vertical="center"/>
    </xf>
    <xf numFmtId="3" fontId="16" fillId="6" borderId="6" xfId="14" applyNumberFormat="1" applyFont="1" applyFill="1" applyBorder="1" applyAlignment="1">
      <alignment horizontal="right" vertical="center"/>
    </xf>
    <xf numFmtId="3" fontId="16" fillId="6" borderId="6" xfId="14" applyNumberFormat="1" applyFont="1" applyFill="1" applyBorder="1" applyAlignment="1">
      <alignment vertical="center"/>
    </xf>
    <xf numFmtId="166" fontId="24" fillId="0" borderId="2" xfId="15" applyNumberFormat="1" applyFont="1" applyBorder="1" applyAlignment="1">
      <alignment horizontal="right" vertical="center"/>
    </xf>
    <xf numFmtId="0" fontId="50" fillId="0" borderId="0" xfId="0" applyFont="1" applyAlignment="1">
      <alignment horizontal="justify" vertical="center"/>
    </xf>
    <xf numFmtId="0" fontId="51" fillId="0" borderId="0" xfId="0" applyFont="1" applyAlignment="1">
      <alignment horizontal="justify" vertical="center"/>
    </xf>
    <xf numFmtId="0" fontId="52" fillId="0" borderId="0" xfId="14" applyFont="1" applyAlignment="1">
      <alignment vertical="center"/>
    </xf>
    <xf numFmtId="3" fontId="16" fillId="3" borderId="14" xfId="14" applyNumberFormat="1" applyFont="1" applyFill="1" applyBorder="1" applyAlignment="1">
      <alignment horizontal="right" vertical="center"/>
    </xf>
    <xf numFmtId="3" fontId="16" fillId="3" borderId="12" xfId="14" applyNumberFormat="1" applyFont="1" applyFill="1" applyBorder="1" applyAlignment="1">
      <alignment horizontal="right" vertical="center"/>
    </xf>
    <xf numFmtId="3" fontId="23" fillId="0" borderId="9" xfId="14" applyNumberFormat="1" applyFont="1" applyBorder="1" applyAlignment="1">
      <alignment horizontal="right" vertical="center"/>
    </xf>
    <xf numFmtId="3" fontId="23" fillId="0" borderId="26" xfId="14" applyNumberFormat="1" applyFont="1" applyBorder="1" applyAlignment="1">
      <alignment horizontal="right" vertical="center"/>
    </xf>
    <xf numFmtId="4" fontId="23" fillId="0" borderId="29" xfId="14" applyNumberFormat="1" applyFont="1" applyBorder="1" applyAlignment="1">
      <alignment vertical="center"/>
    </xf>
    <xf numFmtId="4" fontId="23" fillId="0" borderId="27" xfId="14" applyNumberFormat="1" applyFont="1" applyBorder="1" applyAlignment="1">
      <alignment vertical="center"/>
    </xf>
    <xf numFmtId="4" fontId="16" fillId="0" borderId="80" xfId="14" applyNumberFormat="1" applyFont="1" applyBorder="1" applyAlignment="1">
      <alignment horizontal="right" vertical="center"/>
    </xf>
    <xf numFmtId="3" fontId="13" fillId="0" borderId="2" xfId="14" applyNumberFormat="1" applyFont="1" applyBorder="1" applyAlignment="1">
      <alignment horizontal="right" vertical="center"/>
    </xf>
    <xf numFmtId="3" fontId="13" fillId="0" borderId="3" xfId="14" applyNumberFormat="1" applyFont="1" applyBorder="1" applyAlignment="1">
      <alignment horizontal="right" vertical="center"/>
    </xf>
    <xf numFmtId="2" fontId="16" fillId="0" borderId="2" xfId="22" applyNumberFormat="1" applyFont="1" applyBorder="1" applyAlignment="1">
      <alignment horizontal="right" vertical="center"/>
    </xf>
    <xf numFmtId="2" fontId="16" fillId="0" borderId="41" xfId="14" applyNumberFormat="1" applyFont="1" applyBorder="1" applyAlignment="1">
      <alignment horizontal="right" vertical="center" wrapText="1"/>
    </xf>
    <xf numFmtId="4" fontId="16" fillId="0" borderId="42" xfId="20" applyNumberFormat="1" applyFont="1" applyBorder="1" applyAlignment="1">
      <alignment vertical="center"/>
    </xf>
    <xf numFmtId="4" fontId="16" fillId="0" borderId="38" xfId="14" applyNumberFormat="1" applyFont="1" applyBorder="1" applyAlignment="1">
      <alignment vertical="center"/>
    </xf>
    <xf numFmtId="3" fontId="13" fillId="5" borderId="2" xfId="14" applyNumberFormat="1" applyFont="1" applyFill="1" applyBorder="1" applyAlignment="1">
      <alignment vertical="center"/>
    </xf>
    <xf numFmtId="4" fontId="13" fillId="5" borderId="22" xfId="14" applyNumberFormat="1" applyFont="1" applyFill="1" applyBorder="1" applyAlignment="1">
      <alignment horizontal="right" vertical="center"/>
    </xf>
    <xf numFmtId="3" fontId="16" fillId="0" borderId="45" xfId="14" applyNumberFormat="1" applyFont="1" applyBorder="1" applyAlignment="1">
      <alignment horizontal="right" vertical="center"/>
    </xf>
    <xf numFmtId="3" fontId="16" fillId="0" borderId="41" xfId="14" applyNumberFormat="1" applyFont="1" applyBorder="1" applyAlignment="1">
      <alignment horizontal="right" vertical="center"/>
    </xf>
    <xf numFmtId="3" fontId="16" fillId="5" borderId="2" xfId="14" applyNumberFormat="1" applyFont="1" applyFill="1" applyBorder="1" applyAlignment="1">
      <alignment horizontal="right" vertical="center"/>
    </xf>
    <xf numFmtId="3" fontId="16" fillId="0" borderId="20" xfId="14" applyNumberFormat="1" applyFont="1" applyBorder="1" applyAlignment="1">
      <alignment horizontal="right" vertical="center"/>
    </xf>
    <xf numFmtId="3" fontId="16" fillId="3" borderId="62" xfId="14" applyNumberFormat="1" applyFont="1" applyFill="1" applyBorder="1" applyAlignment="1">
      <alignment horizontal="right" vertical="center"/>
    </xf>
    <xf numFmtId="3" fontId="16" fillId="3" borderId="10" xfId="14" applyNumberFormat="1" applyFont="1" applyFill="1" applyBorder="1" applyAlignment="1">
      <alignment vertical="center"/>
    </xf>
    <xf numFmtId="0" fontId="53" fillId="0" borderId="0" xfId="0" applyFont="1" applyAlignment="1">
      <alignment horizontal="left" vertical="center"/>
    </xf>
    <xf numFmtId="0" fontId="23" fillId="0" borderId="50" xfId="14" applyFont="1" applyBorder="1" applyAlignment="1">
      <alignment vertical="center" wrapText="1"/>
    </xf>
    <xf numFmtId="0" fontId="16" fillId="0" borderId="58" xfId="14" applyFont="1" applyBorder="1" applyAlignment="1">
      <alignment horizontal="center" vertical="center"/>
    </xf>
    <xf numFmtId="0" fontId="28" fillId="0" borderId="0" xfId="14" applyFont="1" applyAlignment="1">
      <alignment vertical="center"/>
    </xf>
    <xf numFmtId="4" fontId="13" fillId="7" borderId="47" xfId="0" applyNumberFormat="1" applyFont="1" applyFill="1" applyBorder="1" applyAlignment="1">
      <alignment vertical="center"/>
    </xf>
    <xf numFmtId="4" fontId="49" fillId="7" borderId="47" xfId="0" applyNumberFormat="1" applyFont="1" applyFill="1" applyBorder="1" applyAlignment="1">
      <alignment vertical="center"/>
    </xf>
    <xf numFmtId="4" fontId="39" fillId="7" borderId="47" xfId="0" applyNumberFormat="1" applyFont="1" applyFill="1" applyBorder="1" applyAlignment="1">
      <alignment vertical="center"/>
    </xf>
    <xf numFmtId="4" fontId="41" fillId="7" borderId="47" xfId="0" applyNumberFormat="1" applyFont="1" applyFill="1" applyBorder="1" applyAlignment="1">
      <alignment vertical="center"/>
    </xf>
    <xf numFmtId="4" fontId="13" fillId="8" borderId="19" xfId="0" applyNumberFormat="1" applyFont="1" applyFill="1" applyBorder="1" applyAlignment="1">
      <alignment vertical="center"/>
    </xf>
    <xf numFmtId="4" fontId="13" fillId="8" borderId="20" xfId="0" applyNumberFormat="1" applyFont="1" applyFill="1" applyBorder="1" applyAlignment="1">
      <alignment vertical="center"/>
    </xf>
    <xf numFmtId="4" fontId="13" fillId="8" borderId="46" xfId="0" applyNumberFormat="1" applyFont="1" applyFill="1" applyBorder="1" applyAlignment="1">
      <alignment vertical="center"/>
    </xf>
    <xf numFmtId="3" fontId="30" fillId="0" borderId="47" xfId="14" applyNumberFormat="1" applyFont="1" applyBorder="1" applyAlignment="1">
      <alignment horizontal="right" vertical="center"/>
    </xf>
    <xf numFmtId="4" fontId="30" fillId="0" borderId="9" xfId="14" applyNumberFormat="1" applyFont="1" applyBorder="1" applyAlignment="1">
      <alignment horizontal="right" vertical="center"/>
    </xf>
    <xf numFmtId="4" fontId="30" fillId="0" borderId="26" xfId="14" applyNumberFormat="1" applyFont="1" applyBorder="1" applyAlignment="1">
      <alignment horizontal="right" vertical="center"/>
    </xf>
    <xf numFmtId="0" fontId="23" fillId="0" borderId="38" xfId="14" applyFont="1" applyBorder="1" applyAlignment="1">
      <alignment vertical="center" wrapText="1"/>
    </xf>
    <xf numFmtId="3" fontId="13" fillId="0" borderId="5" xfId="0" applyNumberFormat="1" applyFont="1" applyBorder="1"/>
    <xf numFmtId="4" fontId="13" fillId="0" borderId="16" xfId="0" applyNumberFormat="1" applyFont="1" applyBorder="1"/>
    <xf numFmtId="0" fontId="16" fillId="0" borderId="62" xfId="1" applyFont="1" applyBorder="1" applyAlignment="1">
      <alignment vertical="center" wrapText="1"/>
    </xf>
    <xf numFmtId="4" fontId="13" fillId="0" borderId="12" xfId="1" applyNumberFormat="1" applyFont="1" applyBorder="1" applyAlignment="1">
      <alignment horizontal="right" vertical="center"/>
    </xf>
    <xf numFmtId="165" fontId="23" fillId="0" borderId="12" xfId="0" applyNumberFormat="1" applyFont="1" applyBorder="1" applyAlignment="1">
      <alignment horizontal="right" vertical="center"/>
    </xf>
    <xf numFmtId="4" fontId="16" fillId="0" borderId="8" xfId="1" applyNumberFormat="1" applyFont="1" applyBorder="1" applyAlignment="1">
      <alignment vertical="center"/>
    </xf>
    <xf numFmtId="3" fontId="17" fillId="6" borderId="30" xfId="1" applyNumberFormat="1" applyFont="1" applyFill="1" applyBorder="1" applyAlignment="1">
      <alignment horizontal="center" vertical="center" wrapText="1"/>
    </xf>
    <xf numFmtId="3" fontId="17" fillId="6" borderId="27" xfId="1" applyNumberFormat="1" applyFont="1" applyFill="1" applyBorder="1" applyAlignment="1">
      <alignment horizontal="center" vertical="center" wrapText="1"/>
    </xf>
    <xf numFmtId="0" fontId="54" fillId="0" borderId="0" xfId="0" applyFont="1" applyAlignment="1">
      <alignment vertical="center"/>
    </xf>
    <xf numFmtId="3" fontId="16" fillId="0" borderId="42" xfId="14" applyNumberFormat="1" applyFont="1" applyBorder="1" applyAlignment="1">
      <alignment horizontal="right" vertical="center"/>
    </xf>
    <xf numFmtId="3" fontId="16" fillId="3" borderId="11" xfId="14" applyNumberFormat="1" applyFont="1" applyFill="1" applyBorder="1" applyAlignment="1">
      <alignment horizontal="right" vertical="center"/>
    </xf>
    <xf numFmtId="3" fontId="23" fillId="0" borderId="13" xfId="14" applyNumberFormat="1" applyFont="1" applyBorder="1" applyAlignment="1">
      <alignment horizontal="right" vertical="center"/>
    </xf>
    <xf numFmtId="3" fontId="23" fillId="0" borderId="15" xfId="14" applyNumberFormat="1" applyFont="1" applyBorder="1" applyAlignment="1">
      <alignment horizontal="right" vertical="center"/>
    </xf>
    <xf numFmtId="3" fontId="23" fillId="0" borderId="25" xfId="14" applyNumberFormat="1" applyFont="1" applyBorder="1" applyAlignment="1">
      <alignment horizontal="right" vertical="center"/>
    </xf>
    <xf numFmtId="3" fontId="24" fillId="3" borderId="12" xfId="14" applyNumberFormat="1" applyFont="1" applyFill="1" applyBorder="1" applyAlignment="1">
      <alignment horizontal="right" vertical="center"/>
    </xf>
    <xf numFmtId="3" fontId="23" fillId="0" borderId="4" xfId="14" applyNumberFormat="1" applyFont="1" applyBorder="1" applyAlignment="1">
      <alignment horizontal="right" vertical="center"/>
    </xf>
    <xf numFmtId="3" fontId="23" fillId="0" borderId="29" xfId="14" applyNumberFormat="1" applyFont="1" applyBorder="1" applyAlignment="1">
      <alignment horizontal="right" vertical="center"/>
    </xf>
    <xf numFmtId="3" fontId="23" fillId="0" borderId="8" xfId="14" applyNumberFormat="1" applyFont="1" applyBorder="1" applyAlignment="1">
      <alignment horizontal="right" vertical="center"/>
    </xf>
    <xf numFmtId="3" fontId="23" fillId="0" borderId="22" xfId="14" applyNumberFormat="1" applyFont="1" applyBorder="1" applyAlignment="1">
      <alignment horizontal="right" vertical="center"/>
    </xf>
    <xf numFmtId="3" fontId="16" fillId="0" borderId="29" xfId="14" applyNumberFormat="1" applyFont="1" applyBorder="1" applyAlignment="1">
      <alignment vertical="center"/>
    </xf>
    <xf numFmtId="3" fontId="16" fillId="0" borderId="57" xfId="14" applyNumberFormat="1" applyFont="1" applyBorder="1" applyAlignment="1">
      <alignment horizontal="right" vertical="center"/>
    </xf>
    <xf numFmtId="3" fontId="23" fillId="0" borderId="43" xfId="14" applyNumberFormat="1" applyFont="1" applyBorder="1" applyAlignment="1">
      <alignment horizontal="right" vertical="center"/>
    </xf>
    <xf numFmtId="3" fontId="16" fillId="0" borderId="43" xfId="14" applyNumberFormat="1" applyFont="1" applyBorder="1" applyAlignment="1">
      <alignment horizontal="right" vertical="center"/>
    </xf>
    <xf numFmtId="3" fontId="16" fillId="3" borderId="18" xfId="14" applyNumberFormat="1" applyFont="1" applyFill="1" applyBorder="1" applyAlignment="1">
      <alignment horizontal="right" vertical="center"/>
    </xf>
    <xf numFmtId="3" fontId="16" fillId="0" borderId="21" xfId="14" applyNumberFormat="1" applyFont="1" applyBorder="1" applyAlignment="1">
      <alignment horizontal="right" vertical="center"/>
    </xf>
    <xf numFmtId="3" fontId="16" fillId="0" borderId="3" xfId="14" applyNumberFormat="1" applyFont="1" applyBorder="1" applyAlignment="1">
      <alignment horizontal="right" vertical="center"/>
    </xf>
    <xf numFmtId="3" fontId="16" fillId="0" borderId="9" xfId="14" applyNumberFormat="1" applyFont="1" applyBorder="1" applyAlignment="1">
      <alignment horizontal="right" vertical="center"/>
    </xf>
    <xf numFmtId="3" fontId="16" fillId="0" borderId="26" xfId="14" applyNumberFormat="1" applyFont="1" applyBorder="1" applyAlignment="1">
      <alignment horizontal="right" vertical="center"/>
    </xf>
    <xf numFmtId="3" fontId="16" fillId="0" borderId="32" xfId="14" applyNumberFormat="1" applyFont="1" applyBorder="1" applyAlignment="1">
      <alignment horizontal="right" vertical="center"/>
    </xf>
    <xf numFmtId="3" fontId="16" fillId="0" borderId="35" xfId="14" applyNumberFormat="1" applyFont="1" applyBorder="1" applyAlignment="1">
      <alignment horizontal="right" vertical="center"/>
    </xf>
    <xf numFmtId="3" fontId="16" fillId="0" borderId="39" xfId="14" applyNumberFormat="1" applyFont="1" applyBorder="1" applyAlignment="1">
      <alignment horizontal="right" vertical="center"/>
    </xf>
    <xf numFmtId="3" fontId="16" fillId="0" borderId="22" xfId="14" applyNumberFormat="1" applyFont="1" applyBorder="1" applyAlignment="1">
      <alignment horizontal="right" vertical="center"/>
    </xf>
    <xf numFmtId="3" fontId="16" fillId="6" borderId="16" xfId="14" applyNumberFormat="1" applyFont="1" applyFill="1" applyBorder="1" applyAlignment="1">
      <alignment vertical="center"/>
    </xf>
    <xf numFmtId="3" fontId="16" fillId="0" borderId="76" xfId="14" applyNumberFormat="1" applyFont="1" applyBorder="1" applyAlignment="1">
      <alignment horizontal="right" vertical="center"/>
    </xf>
    <xf numFmtId="3" fontId="16" fillId="0" borderId="71" xfId="14" applyNumberFormat="1" applyFont="1" applyBorder="1" applyAlignment="1">
      <alignment horizontal="right" vertical="center"/>
    </xf>
    <xf numFmtId="3" fontId="16" fillId="6" borderId="65" xfId="14" applyNumberFormat="1" applyFont="1" applyFill="1" applyBorder="1" applyAlignment="1">
      <alignment horizontal="right" vertical="center"/>
    </xf>
    <xf numFmtId="3" fontId="16" fillId="3" borderId="10" xfId="14" applyNumberFormat="1" applyFont="1" applyFill="1" applyBorder="1" applyAlignment="1">
      <alignment horizontal="right" vertical="center"/>
    </xf>
    <xf numFmtId="3" fontId="16" fillId="5" borderId="21" xfId="14" applyNumberFormat="1" applyFont="1" applyFill="1" applyBorder="1" applyAlignment="1">
      <alignment horizontal="right" vertical="center"/>
    </xf>
    <xf numFmtId="3" fontId="23" fillId="5" borderId="15" xfId="14" applyNumberFormat="1" applyFont="1" applyFill="1" applyBorder="1" applyAlignment="1">
      <alignment horizontal="right" vertical="center"/>
    </xf>
    <xf numFmtId="3" fontId="23" fillId="5" borderId="25" xfId="14" applyNumberFormat="1" applyFont="1" applyFill="1" applyBorder="1" applyAlignment="1">
      <alignment horizontal="right" vertical="center"/>
    </xf>
    <xf numFmtId="3" fontId="16" fillId="5" borderId="22" xfId="14" applyNumberFormat="1" applyFont="1" applyFill="1" applyBorder="1" applyAlignment="1">
      <alignment horizontal="right" vertical="center"/>
    </xf>
    <xf numFmtId="3" fontId="16" fillId="5" borderId="15" xfId="14" applyNumberFormat="1" applyFont="1" applyFill="1" applyBorder="1" applyAlignment="1">
      <alignment horizontal="right" vertical="center"/>
    </xf>
    <xf numFmtId="3" fontId="16" fillId="5" borderId="25" xfId="14" applyNumberFormat="1" applyFont="1" applyFill="1" applyBorder="1" applyAlignment="1">
      <alignment horizontal="right" vertical="center"/>
    </xf>
    <xf numFmtId="3" fontId="23" fillId="5" borderId="8" xfId="14" applyNumberFormat="1" applyFont="1" applyFill="1" applyBorder="1" applyAlignment="1">
      <alignment horizontal="right" vertical="center"/>
    </xf>
    <xf numFmtId="3" fontId="23" fillId="5" borderId="22" xfId="14" applyNumberFormat="1" applyFont="1" applyFill="1" applyBorder="1" applyAlignment="1">
      <alignment horizontal="right" vertical="center"/>
    </xf>
    <xf numFmtId="3" fontId="23" fillId="0" borderId="41" xfId="14" applyNumberFormat="1" applyFont="1" applyBorder="1" applyAlignment="1">
      <alignment horizontal="right" vertical="center"/>
    </xf>
    <xf numFmtId="3" fontId="16" fillId="5" borderId="26" xfId="14" applyNumberFormat="1" applyFont="1" applyFill="1" applyBorder="1" applyAlignment="1">
      <alignment horizontal="right" vertical="center"/>
    </xf>
    <xf numFmtId="3" fontId="13" fillId="5" borderId="9" xfId="14" applyNumberFormat="1" applyFont="1" applyFill="1" applyBorder="1" applyAlignment="1">
      <alignment horizontal="right" vertical="center"/>
    </xf>
    <xf numFmtId="3" fontId="13" fillId="5" borderId="26" xfId="14" applyNumberFormat="1" applyFont="1" applyFill="1" applyBorder="1" applyAlignment="1">
      <alignment horizontal="right" vertical="center"/>
    </xf>
    <xf numFmtId="3" fontId="17" fillId="3" borderId="12" xfId="14" applyNumberFormat="1" applyFont="1" applyFill="1" applyBorder="1" applyAlignment="1">
      <alignment horizontal="right" vertical="center"/>
    </xf>
    <xf numFmtId="3" fontId="13" fillId="5" borderId="8" xfId="14" applyNumberFormat="1" applyFont="1" applyFill="1" applyBorder="1" applyAlignment="1">
      <alignment horizontal="right" vertical="center"/>
    </xf>
    <xf numFmtId="3" fontId="13" fillId="5" borderId="22" xfId="14" applyNumberFormat="1" applyFont="1" applyFill="1" applyBorder="1" applyAlignment="1">
      <alignment horizontal="right" vertical="center"/>
    </xf>
    <xf numFmtId="3" fontId="23" fillId="5" borderId="9" xfId="14" applyNumberFormat="1" applyFont="1" applyFill="1" applyBorder="1" applyAlignment="1">
      <alignment horizontal="right" vertical="center"/>
    </xf>
    <xf numFmtId="3" fontId="23" fillId="5" borderId="26" xfId="14" applyNumberFormat="1" applyFont="1" applyFill="1" applyBorder="1" applyAlignment="1">
      <alignment horizontal="right" vertical="center"/>
    </xf>
    <xf numFmtId="3" fontId="16" fillId="6" borderId="48" xfId="14" applyNumberFormat="1" applyFont="1" applyFill="1" applyBorder="1"/>
    <xf numFmtId="3" fontId="16" fillId="6" borderId="24" xfId="14" applyNumberFormat="1" applyFont="1" applyFill="1" applyBorder="1"/>
    <xf numFmtId="3" fontId="16" fillId="3" borderId="10" xfId="14" applyNumberFormat="1" applyFont="1" applyFill="1" applyBorder="1"/>
    <xf numFmtId="3" fontId="23" fillId="0" borderId="8" xfId="14" applyNumberFormat="1" applyFont="1" applyBorder="1" applyAlignment="1">
      <alignment vertical="center"/>
    </xf>
    <xf numFmtId="3" fontId="23" fillId="0" borderId="22" xfId="14" applyNumberFormat="1" applyFont="1" applyBorder="1" applyAlignment="1">
      <alignment vertical="center"/>
    </xf>
    <xf numFmtId="3" fontId="24" fillId="3" borderId="18" xfId="14" applyNumberFormat="1" applyFont="1" applyFill="1" applyBorder="1" applyAlignment="1">
      <alignment horizontal="right" vertical="center"/>
    </xf>
    <xf numFmtId="3" fontId="16" fillId="0" borderId="25" xfId="14" applyNumberFormat="1" applyFont="1" applyBorder="1" applyAlignment="1">
      <alignment horizontal="right" vertical="center"/>
    </xf>
    <xf numFmtId="3" fontId="23" fillId="0" borderId="26" xfId="14" applyNumberFormat="1" applyFont="1" applyBorder="1" applyAlignment="1">
      <alignment vertical="center"/>
    </xf>
    <xf numFmtId="3" fontId="16" fillId="0" borderId="23" xfId="14" applyNumberFormat="1" applyFont="1" applyBorder="1" applyAlignment="1">
      <alignment horizontal="right" vertical="center"/>
    </xf>
    <xf numFmtId="3" fontId="16" fillId="0" borderId="63" xfId="14" applyNumberFormat="1" applyFont="1" applyBorder="1" applyAlignment="1">
      <alignment horizontal="right" vertical="center"/>
    </xf>
    <xf numFmtId="3" fontId="23" fillId="0" borderId="70" xfId="14" applyNumberFormat="1" applyFont="1" applyBorder="1" applyAlignment="1">
      <alignment horizontal="right" vertical="center"/>
    </xf>
    <xf numFmtId="3" fontId="16" fillId="0" borderId="70" xfId="14" applyNumberFormat="1" applyFont="1" applyBorder="1" applyAlignment="1">
      <alignment horizontal="right" vertical="center"/>
    </xf>
    <xf numFmtId="3" fontId="23" fillId="0" borderId="71" xfId="14" applyNumberFormat="1" applyFont="1" applyBorder="1" applyAlignment="1">
      <alignment horizontal="right" vertical="center"/>
    </xf>
    <xf numFmtId="3" fontId="23" fillId="0" borderId="20" xfId="14" applyNumberFormat="1" applyFont="1" applyBorder="1" applyAlignment="1">
      <alignment horizontal="right" vertical="center"/>
    </xf>
    <xf numFmtId="3" fontId="23" fillId="0" borderId="79" xfId="14" applyNumberFormat="1" applyFont="1" applyBorder="1" applyAlignment="1">
      <alignment horizontal="right" vertical="center"/>
    </xf>
    <xf numFmtId="3" fontId="24" fillId="3" borderId="62" xfId="14" applyNumberFormat="1" applyFont="1" applyFill="1" applyBorder="1" applyAlignment="1">
      <alignment horizontal="right" vertical="center"/>
    </xf>
    <xf numFmtId="3" fontId="16" fillId="0" borderId="69" xfId="14" applyNumberFormat="1" applyFont="1" applyBorder="1" applyAlignment="1">
      <alignment horizontal="right" vertical="center"/>
    </xf>
    <xf numFmtId="3" fontId="16" fillId="0" borderId="77" xfId="14" applyNumberFormat="1" applyFont="1" applyBorder="1" applyAlignment="1">
      <alignment horizontal="right" vertical="center"/>
    </xf>
    <xf numFmtId="3" fontId="23" fillId="5" borderId="2" xfId="14" applyNumberFormat="1" applyFont="1" applyFill="1" applyBorder="1" applyAlignment="1">
      <alignment horizontal="right" vertical="center"/>
    </xf>
    <xf numFmtId="3" fontId="16" fillId="0" borderId="75" xfId="14" applyNumberFormat="1" applyFont="1" applyBorder="1" applyAlignment="1">
      <alignment vertical="center"/>
    </xf>
    <xf numFmtId="3" fontId="16" fillId="3" borderId="14" xfId="14" applyNumberFormat="1" applyFont="1" applyFill="1" applyBorder="1" applyAlignment="1">
      <alignment vertical="center"/>
    </xf>
    <xf numFmtId="3" fontId="16" fillId="0" borderId="77" xfId="14" applyNumberFormat="1" applyFont="1" applyBorder="1" applyAlignment="1">
      <alignment vertical="center"/>
    </xf>
    <xf numFmtId="3" fontId="16" fillId="3" borderId="18" xfId="14" applyNumberFormat="1" applyFont="1" applyFill="1" applyBorder="1" applyAlignment="1">
      <alignment vertical="center"/>
    </xf>
    <xf numFmtId="3" fontId="16" fillId="0" borderId="50" xfId="14" applyNumberFormat="1" applyFont="1" applyBorder="1" applyAlignment="1">
      <alignment horizontal="right" vertical="center"/>
    </xf>
    <xf numFmtId="3" fontId="16" fillId="6" borderId="48" xfId="14" applyNumberFormat="1" applyFont="1" applyFill="1" applyBorder="1" applyAlignment="1">
      <alignment horizontal="right" vertical="center"/>
    </xf>
    <xf numFmtId="3" fontId="13" fillId="0" borderId="8" xfId="14" applyNumberFormat="1" applyFont="1" applyBorder="1" applyAlignment="1">
      <alignment horizontal="right" vertical="center"/>
    </xf>
    <xf numFmtId="3" fontId="13" fillId="0" borderId="22" xfId="14" applyNumberFormat="1" applyFont="1" applyBorder="1" applyAlignment="1">
      <alignment horizontal="right" vertical="center"/>
    </xf>
    <xf numFmtId="3" fontId="13" fillId="0" borderId="9" xfId="14" applyNumberFormat="1" applyFont="1" applyBorder="1" applyAlignment="1">
      <alignment horizontal="right" vertical="center"/>
    </xf>
    <xf numFmtId="3" fontId="13" fillId="0" borderId="26" xfId="14" applyNumberFormat="1" applyFont="1" applyBorder="1" applyAlignment="1">
      <alignment horizontal="right" vertical="center"/>
    </xf>
    <xf numFmtId="3" fontId="30" fillId="0" borderId="3" xfId="14" applyNumberFormat="1" applyFont="1" applyBorder="1" applyAlignment="1">
      <alignment horizontal="right" vertical="center"/>
    </xf>
    <xf numFmtId="3" fontId="30" fillId="0" borderId="9" xfId="14" applyNumberFormat="1" applyFont="1" applyBorder="1" applyAlignment="1">
      <alignment horizontal="right" vertical="center"/>
    </xf>
    <xf numFmtId="3" fontId="30" fillId="0" borderId="26" xfId="14" applyNumberFormat="1" applyFont="1" applyBorder="1" applyAlignment="1">
      <alignment horizontal="right" vertical="center"/>
    </xf>
    <xf numFmtId="3" fontId="24" fillId="3" borderId="18" xfId="14" applyNumberFormat="1" applyFont="1" applyFill="1" applyBorder="1" applyAlignment="1">
      <alignment vertical="center"/>
    </xf>
    <xf numFmtId="3" fontId="17" fillId="3" borderId="18" xfId="14" applyNumberFormat="1" applyFont="1" applyFill="1" applyBorder="1" applyAlignment="1">
      <alignment horizontal="right" vertical="center"/>
    </xf>
    <xf numFmtId="3" fontId="13" fillId="0" borderId="15" xfId="14" applyNumberFormat="1" applyFont="1" applyBorder="1" applyAlignment="1">
      <alignment horizontal="right" vertical="center"/>
    </xf>
    <xf numFmtId="3" fontId="13" fillId="0" borderId="25" xfId="14" applyNumberFormat="1" applyFont="1" applyBorder="1" applyAlignment="1">
      <alignment horizontal="right" vertical="center"/>
    </xf>
    <xf numFmtId="3" fontId="13" fillId="0" borderId="13" xfId="14" applyNumberFormat="1" applyFont="1" applyBorder="1" applyAlignment="1">
      <alignment horizontal="right" vertical="center"/>
    </xf>
    <xf numFmtId="3" fontId="13" fillId="5" borderId="2" xfId="14" applyNumberFormat="1" applyFont="1" applyFill="1" applyBorder="1" applyAlignment="1">
      <alignment horizontal="right" vertical="center"/>
    </xf>
    <xf numFmtId="3" fontId="16" fillId="5" borderId="41" xfId="14" applyNumberFormat="1" applyFont="1" applyFill="1" applyBorder="1" applyAlignment="1">
      <alignment horizontal="right" vertical="center"/>
    </xf>
    <xf numFmtId="3" fontId="16" fillId="0" borderId="45" xfId="14" applyNumberFormat="1" applyFont="1" applyBorder="1" applyAlignment="1">
      <alignment vertical="center"/>
    </xf>
    <xf numFmtId="3" fontId="16" fillId="0" borderId="42" xfId="14" applyNumberFormat="1" applyFont="1" applyBorder="1" applyAlignment="1">
      <alignment vertical="center"/>
    </xf>
    <xf numFmtId="3" fontId="23" fillId="0" borderId="41" xfId="14" applyNumberFormat="1" applyFont="1" applyBorder="1" applyAlignment="1">
      <alignment vertical="center"/>
    </xf>
    <xf numFmtId="3" fontId="16" fillId="0" borderId="41" xfId="14" applyNumberFormat="1" applyFont="1" applyBorder="1" applyAlignment="1">
      <alignment vertical="center"/>
    </xf>
    <xf numFmtId="3" fontId="16" fillId="0" borderId="20" xfId="14" applyNumberFormat="1" applyFont="1" applyBorder="1" applyAlignment="1">
      <alignment vertical="center"/>
    </xf>
    <xf numFmtId="3" fontId="16" fillId="0" borderId="46" xfId="14" applyNumberFormat="1" applyFont="1" applyBorder="1" applyAlignment="1">
      <alignment vertical="center"/>
    </xf>
    <xf numFmtId="3" fontId="11" fillId="0" borderId="9" xfId="14" applyNumberFormat="1" applyFont="1" applyBorder="1" applyAlignment="1">
      <alignment horizontal="right" vertical="center"/>
    </xf>
    <xf numFmtId="3" fontId="11" fillId="0" borderId="26" xfId="14" applyNumberFormat="1" applyFont="1" applyBorder="1" applyAlignment="1">
      <alignment horizontal="right" vertical="center"/>
    </xf>
    <xf numFmtId="3" fontId="16" fillId="0" borderId="67" xfId="14" applyNumberFormat="1" applyFont="1" applyBorder="1" applyAlignment="1">
      <alignment horizontal="right" vertical="center"/>
    </xf>
    <xf numFmtId="3" fontId="16" fillId="12" borderId="14" xfId="14" applyNumberFormat="1" applyFont="1" applyFill="1" applyBorder="1" applyAlignment="1">
      <alignment horizontal="right" vertical="center"/>
    </xf>
    <xf numFmtId="3" fontId="23" fillId="0" borderId="0" xfId="14" applyNumberFormat="1" applyFont="1" applyAlignment="1">
      <alignment horizontal="right" vertical="center"/>
    </xf>
    <xf numFmtId="3" fontId="23" fillId="0" borderId="57" xfId="14" applyNumberFormat="1" applyFont="1" applyBorder="1" applyAlignment="1">
      <alignment horizontal="right" vertical="center"/>
    </xf>
    <xf numFmtId="3" fontId="23" fillId="0" borderId="37" xfId="14" applyNumberFormat="1" applyFont="1" applyBorder="1" applyAlignment="1">
      <alignment horizontal="right" vertical="center"/>
    </xf>
    <xf numFmtId="3" fontId="24" fillId="3" borderId="18" xfId="0" applyNumberFormat="1" applyFont="1" applyFill="1" applyBorder="1" applyAlignment="1">
      <alignment vertical="center"/>
    </xf>
    <xf numFmtId="3" fontId="17" fillId="3" borderId="12" xfId="0" applyNumberFormat="1" applyFont="1" applyFill="1" applyBorder="1" applyAlignment="1">
      <alignment vertical="center"/>
    </xf>
    <xf numFmtId="3" fontId="17" fillId="3" borderId="14" xfId="0" applyNumberFormat="1" applyFont="1" applyFill="1" applyBorder="1" applyAlignment="1">
      <alignment horizontal="right" vertical="center"/>
    </xf>
    <xf numFmtId="3" fontId="24" fillId="3" borderId="12" xfId="0" applyNumberFormat="1" applyFont="1" applyFill="1" applyBorder="1" applyAlignment="1">
      <alignment horizontal="right" vertical="center"/>
    </xf>
    <xf numFmtId="3" fontId="24" fillId="3" borderId="62" xfId="0" applyNumberFormat="1" applyFont="1" applyFill="1" applyBorder="1" applyAlignment="1">
      <alignment horizontal="right" vertical="center"/>
    </xf>
    <xf numFmtId="3" fontId="23" fillId="3" borderId="12" xfId="0" applyNumberFormat="1" applyFont="1" applyFill="1" applyBorder="1" applyAlignment="1">
      <alignment horizontal="right" vertical="center"/>
    </xf>
    <xf numFmtId="3" fontId="23" fillId="3" borderId="62" xfId="0" applyNumberFormat="1" applyFont="1" applyFill="1" applyBorder="1" applyAlignment="1">
      <alignment horizontal="right" vertical="center"/>
    </xf>
    <xf numFmtId="3" fontId="17" fillId="0" borderId="54" xfId="0" applyNumberFormat="1" applyFont="1" applyBorder="1" applyAlignment="1">
      <alignment vertical="center"/>
    </xf>
    <xf numFmtId="3" fontId="13" fillId="0" borderId="1" xfId="0" applyNumberFormat="1" applyFont="1" applyBorder="1" applyAlignment="1">
      <alignment horizontal="right" vertical="center"/>
    </xf>
    <xf numFmtId="3" fontId="13" fillId="0" borderId="7" xfId="0" applyNumberFormat="1" applyFont="1" applyBorder="1" applyAlignment="1">
      <alignment horizontal="right" vertical="center"/>
    </xf>
    <xf numFmtId="3" fontId="13" fillId="0" borderId="45" xfId="0" applyNumberFormat="1" applyFont="1" applyBorder="1" applyAlignment="1">
      <alignment horizontal="right" vertical="center"/>
    </xf>
    <xf numFmtId="3" fontId="13" fillId="3" borderId="1" xfId="0" applyNumberFormat="1" applyFont="1" applyFill="1" applyBorder="1" applyAlignment="1">
      <alignment horizontal="right" vertical="center"/>
    </xf>
    <xf numFmtId="3" fontId="13" fillId="3" borderId="7" xfId="0" applyNumberFormat="1" applyFont="1" applyFill="1" applyBorder="1" applyAlignment="1">
      <alignment horizontal="right" vertical="center"/>
    </xf>
    <xf numFmtId="3" fontId="13" fillId="3" borderId="45" xfId="0" applyNumberFormat="1" applyFont="1" applyFill="1" applyBorder="1" applyAlignment="1">
      <alignment vertical="center"/>
    </xf>
    <xf numFmtId="3" fontId="17" fillId="0" borderId="14" xfId="0" applyNumberFormat="1" applyFont="1" applyBorder="1" applyAlignment="1">
      <alignment horizontal="right" vertical="center"/>
    </xf>
    <xf numFmtId="3" fontId="17" fillId="3" borderId="21" xfId="0" applyNumberFormat="1" applyFont="1" applyFill="1" applyBorder="1" applyAlignment="1">
      <alignment vertical="center"/>
    </xf>
    <xf numFmtId="3" fontId="13" fillId="0" borderId="15" xfId="0" applyNumberFormat="1" applyFont="1" applyBorder="1" applyAlignment="1">
      <alignment horizontal="right" vertical="center"/>
    </xf>
    <xf numFmtId="3" fontId="13" fillId="0" borderId="42" xfId="0" applyNumberFormat="1" applyFont="1" applyBorder="1" applyAlignment="1">
      <alignment horizontal="right" vertical="center"/>
    </xf>
    <xf numFmtId="3" fontId="13" fillId="3" borderId="2" xfId="0" applyNumberFormat="1" applyFont="1" applyFill="1" applyBorder="1" applyAlignment="1">
      <alignment horizontal="right" vertical="center"/>
    </xf>
    <xf numFmtId="3" fontId="13" fillId="3" borderId="15" xfId="0" applyNumberFormat="1" applyFont="1" applyFill="1" applyBorder="1" applyAlignment="1">
      <alignment horizontal="right" vertical="center"/>
    </xf>
    <xf numFmtId="3" fontId="13" fillId="3" borderId="42" xfId="0" applyNumberFormat="1" applyFont="1" applyFill="1" applyBorder="1" applyAlignment="1">
      <alignment vertical="center"/>
    </xf>
    <xf numFmtId="3" fontId="17" fillId="0" borderId="12" xfId="0" applyNumberFormat="1" applyFont="1" applyBorder="1" applyAlignment="1">
      <alignment horizontal="right" vertical="center"/>
    </xf>
    <xf numFmtId="3" fontId="17" fillId="3" borderId="25" xfId="0" applyNumberFormat="1" applyFont="1" applyFill="1" applyBorder="1" applyAlignment="1">
      <alignment vertical="center"/>
    </xf>
    <xf numFmtId="3" fontId="13" fillId="0" borderId="8" xfId="0" applyNumberFormat="1" applyFont="1" applyBorder="1" applyAlignment="1">
      <alignment horizontal="right" vertical="center"/>
    </xf>
    <xf numFmtId="3" fontId="13" fillId="0" borderId="41" xfId="0" applyNumberFormat="1" applyFont="1" applyBorder="1" applyAlignment="1">
      <alignment horizontal="right" vertical="center"/>
    </xf>
    <xf numFmtId="3" fontId="13" fillId="3" borderId="8" xfId="0" applyNumberFormat="1" applyFont="1" applyFill="1" applyBorder="1" applyAlignment="1">
      <alignment horizontal="right" vertical="center"/>
    </xf>
    <xf numFmtId="3" fontId="13" fillId="3" borderId="41" xfId="0" applyNumberFormat="1" applyFont="1" applyFill="1" applyBorder="1" applyAlignment="1">
      <alignment vertical="center"/>
    </xf>
    <xf numFmtId="3" fontId="17" fillId="3" borderId="22" xfId="0" applyNumberFormat="1" applyFont="1" applyFill="1" applyBorder="1" applyAlignment="1">
      <alignment vertical="center"/>
    </xf>
    <xf numFmtId="3" fontId="13" fillId="0" borderId="8" xfId="0" applyNumberFormat="1" applyFont="1" applyBorder="1" applyAlignment="1">
      <alignment vertical="center"/>
    </xf>
    <xf numFmtId="3" fontId="13" fillId="0" borderId="41" xfId="0" applyNumberFormat="1" applyFont="1" applyBorder="1" applyAlignment="1">
      <alignment vertical="center"/>
    </xf>
    <xf numFmtId="3" fontId="17" fillId="0" borderId="55" xfId="0" applyNumberFormat="1" applyFont="1" applyBorder="1" applyAlignment="1">
      <alignment vertical="center" wrapText="1"/>
    </xf>
    <xf numFmtId="3" fontId="17" fillId="6" borderId="56" xfId="0" applyNumberFormat="1" applyFont="1" applyFill="1" applyBorder="1" applyAlignment="1">
      <alignment vertical="center"/>
    </xf>
    <xf numFmtId="3" fontId="17" fillId="6" borderId="5" xfId="0" applyNumberFormat="1" applyFont="1" applyFill="1" applyBorder="1" applyAlignment="1">
      <alignment horizontal="right" vertical="center"/>
    </xf>
    <xf numFmtId="3" fontId="17" fillId="6" borderId="6" xfId="0" applyNumberFormat="1" applyFont="1" applyFill="1" applyBorder="1" applyAlignment="1">
      <alignment horizontal="right" vertical="center"/>
    </xf>
    <xf numFmtId="3" fontId="17" fillId="6" borderId="16" xfId="0" applyNumberFormat="1" applyFont="1" applyFill="1" applyBorder="1" applyAlignment="1">
      <alignment horizontal="right" vertical="center"/>
    </xf>
    <xf numFmtId="3" fontId="17" fillId="3" borderId="6" xfId="0" applyNumberFormat="1" applyFont="1" applyFill="1" applyBorder="1" applyAlignment="1">
      <alignment horizontal="right" vertical="center"/>
    </xf>
    <xf numFmtId="3" fontId="17" fillId="3" borderId="16" xfId="0" applyNumberFormat="1" applyFont="1" applyFill="1" applyBorder="1" applyAlignment="1">
      <alignment horizontal="right" vertical="center"/>
    </xf>
    <xf numFmtId="3" fontId="17" fillId="6" borderId="10" xfId="0" applyNumberFormat="1" applyFont="1" applyFill="1" applyBorder="1" applyAlignment="1">
      <alignment horizontal="right" vertical="center"/>
    </xf>
    <xf numFmtId="3" fontId="17" fillId="3" borderId="24" xfId="0" applyNumberFormat="1" applyFont="1" applyFill="1" applyBorder="1" applyAlignment="1">
      <alignment horizontal="right" vertical="center"/>
    </xf>
    <xf numFmtId="3" fontId="17" fillId="0" borderId="14" xfId="0" applyNumberFormat="1" applyFont="1" applyBorder="1" applyAlignment="1">
      <alignment vertical="center"/>
    </xf>
    <xf numFmtId="3" fontId="17" fillId="0" borderId="47" xfId="0" applyNumberFormat="1" applyFont="1" applyBorder="1" applyAlignment="1">
      <alignment vertical="center" wrapText="1"/>
    </xf>
    <xf numFmtId="3" fontId="17" fillId="3" borderId="12" xfId="2" applyNumberFormat="1" applyFont="1" applyFill="1" applyBorder="1" applyAlignment="1">
      <alignment vertical="center"/>
    </xf>
    <xf numFmtId="3" fontId="17" fillId="3" borderId="28" xfId="2" applyNumberFormat="1" applyFont="1" applyFill="1" applyBorder="1" applyAlignment="1">
      <alignment vertical="center"/>
    </xf>
    <xf numFmtId="3" fontId="17" fillId="3" borderId="10" xfId="2" applyNumberFormat="1" applyFont="1" applyFill="1" applyBorder="1" applyAlignment="1">
      <alignment vertical="center"/>
    </xf>
    <xf numFmtId="0" fontId="23" fillId="0" borderId="17" xfId="14" applyFont="1" applyBorder="1" applyAlignment="1">
      <alignment vertical="center"/>
    </xf>
    <xf numFmtId="166" fontId="11" fillId="0" borderId="0" xfId="14" applyNumberFormat="1" applyFont="1" applyAlignment="1">
      <alignment vertical="center"/>
    </xf>
    <xf numFmtId="0" fontId="31" fillId="0" borderId="0" xfId="0" applyFont="1" applyAlignment="1">
      <alignment vertical="center"/>
    </xf>
    <xf numFmtId="49" fontId="13" fillId="0" borderId="4" xfId="0" applyNumberFormat="1" applyFont="1" applyBorder="1" applyAlignment="1">
      <alignment horizontal="center" vertical="center"/>
    </xf>
    <xf numFmtId="165" fontId="13" fillId="8" borderId="12" xfId="0" applyNumberFormat="1" applyFont="1" applyFill="1" applyBorder="1" applyAlignment="1">
      <alignment vertical="center"/>
    </xf>
    <xf numFmtId="166" fontId="11" fillId="0" borderId="0" xfId="14" applyNumberFormat="1" applyFont="1" applyAlignment="1">
      <alignment horizontal="left"/>
    </xf>
    <xf numFmtId="3" fontId="23" fillId="0" borderId="27" xfId="14" applyNumberFormat="1" applyFont="1" applyBorder="1" applyAlignment="1">
      <alignment horizontal="right" vertical="center"/>
    </xf>
    <xf numFmtId="3" fontId="23" fillId="0" borderId="19" xfId="14" applyNumberFormat="1" applyFont="1" applyBorder="1" applyAlignment="1">
      <alignment horizontal="right" vertical="center"/>
    </xf>
    <xf numFmtId="49" fontId="13" fillId="0" borderId="2" xfId="0" applyNumberFormat="1" applyFont="1" applyBorder="1" applyAlignment="1">
      <alignment horizontal="center" vertical="center"/>
    </xf>
    <xf numFmtId="166" fontId="13" fillId="0" borderId="0" xfId="15" applyNumberFormat="1" applyFont="1" applyAlignment="1">
      <alignment horizontal="left"/>
    </xf>
    <xf numFmtId="0" fontId="16" fillId="0" borderId="21" xfId="21" applyFont="1" applyBorder="1" applyAlignment="1">
      <alignment vertical="center" wrapText="1"/>
    </xf>
    <xf numFmtId="0" fontId="16" fillId="0" borderId="25" xfId="21" applyFont="1" applyBorder="1" applyAlignment="1">
      <alignment vertical="center" wrapText="1"/>
    </xf>
    <xf numFmtId="0" fontId="16" fillId="0" borderId="23" xfId="21" applyFont="1" applyBorder="1" applyAlignment="1">
      <alignment vertical="center" wrapText="1"/>
    </xf>
    <xf numFmtId="4" fontId="16" fillId="0" borderId="20" xfId="14" applyNumberFormat="1" applyFont="1" applyBorder="1" applyAlignment="1">
      <alignment vertical="center"/>
    </xf>
    <xf numFmtId="166" fontId="16" fillId="0" borderId="19" xfId="15" applyNumberFormat="1" applyFont="1" applyBorder="1" applyAlignment="1">
      <alignment horizontal="right" vertical="center"/>
    </xf>
    <xf numFmtId="166" fontId="16" fillId="0" borderId="46" xfId="14" applyNumberFormat="1" applyFont="1" applyBorder="1" applyAlignment="1">
      <alignment horizontal="right" vertical="center" wrapText="1"/>
    </xf>
    <xf numFmtId="0" fontId="16" fillId="0" borderId="0" xfId="14" applyFont="1" applyAlignment="1">
      <alignment horizontal="left"/>
    </xf>
    <xf numFmtId="0" fontId="16" fillId="0" borderId="60" xfId="14" applyFont="1" applyBorder="1" applyAlignment="1">
      <alignment wrapText="1"/>
    </xf>
    <xf numFmtId="0" fontId="16" fillId="0" borderId="68" xfId="14" applyFont="1" applyBorder="1" applyAlignment="1">
      <alignment vertical="center" wrapText="1"/>
    </xf>
    <xf numFmtId="3" fontId="16" fillId="0" borderId="31" xfId="14" applyNumberFormat="1" applyFont="1" applyBorder="1" applyAlignment="1">
      <alignment vertical="center"/>
    </xf>
    <xf numFmtId="4" fontId="16" fillId="0" borderId="44" xfId="14" applyNumberFormat="1" applyFont="1" applyBorder="1" applyAlignment="1">
      <alignment vertical="center"/>
    </xf>
    <xf numFmtId="3" fontId="16" fillId="0" borderId="64" xfId="14" applyNumberFormat="1" applyFont="1" applyBorder="1" applyAlignment="1">
      <alignment vertical="center"/>
    </xf>
    <xf numFmtId="4" fontId="16" fillId="0" borderId="30" xfId="14" applyNumberFormat="1" applyFont="1" applyBorder="1" applyAlignment="1">
      <alignment horizontal="right" vertical="center"/>
    </xf>
    <xf numFmtId="4" fontId="16" fillId="0" borderId="68" xfId="14" applyNumberFormat="1" applyFont="1" applyBorder="1" applyAlignment="1">
      <alignment horizontal="right" vertical="center"/>
    </xf>
    <xf numFmtId="3" fontId="16" fillId="0" borderId="30" xfId="14" applyNumberFormat="1" applyFont="1" applyBorder="1" applyAlignment="1">
      <alignment vertical="center"/>
    </xf>
    <xf numFmtId="3" fontId="16" fillId="0" borderId="44" xfId="14" applyNumberFormat="1" applyFont="1" applyBorder="1" applyAlignment="1">
      <alignment horizontal="right" vertical="center"/>
    </xf>
    <xf numFmtId="166" fontId="11" fillId="0" borderId="0" xfId="14" applyNumberFormat="1" applyFont="1" applyAlignment="1">
      <alignment horizontal="left" vertical="center"/>
    </xf>
    <xf numFmtId="0" fontId="13" fillId="0" borderId="0" xfId="0" applyFont="1"/>
    <xf numFmtId="166" fontId="13" fillId="0" borderId="0" xfId="14" applyNumberFormat="1" applyFont="1"/>
    <xf numFmtId="166" fontId="17" fillId="0" borderId="0" xfId="14" applyNumberFormat="1" applyFont="1" applyAlignment="1">
      <alignment horizontal="right" wrapText="1"/>
    </xf>
    <xf numFmtId="0" fontId="13" fillId="0" borderId="0" xfId="14" applyFont="1" applyAlignment="1">
      <alignment horizontal="left" wrapText="1"/>
    </xf>
    <xf numFmtId="166" fontId="13" fillId="0" borderId="0" xfId="14" applyNumberFormat="1" applyFont="1" applyAlignment="1">
      <alignment horizontal="left"/>
    </xf>
    <xf numFmtId="4" fontId="16" fillId="0" borderId="23" xfId="1" applyNumberFormat="1" applyFont="1" applyBorder="1" applyAlignment="1">
      <alignment vertical="center"/>
    </xf>
    <xf numFmtId="4" fontId="16" fillId="0" borderId="24" xfId="1" applyNumberFormat="1" applyFont="1" applyBorder="1" applyAlignment="1">
      <alignment vertical="center"/>
    </xf>
    <xf numFmtId="4" fontId="16" fillId="0" borderId="6" xfId="1" applyNumberFormat="1" applyFont="1" applyBorder="1" applyAlignment="1">
      <alignment vertical="center"/>
    </xf>
    <xf numFmtId="0" fontId="21" fillId="0" borderId="0" xfId="1" applyFont="1" applyAlignment="1">
      <alignment vertical="center" wrapText="1"/>
    </xf>
    <xf numFmtId="0" fontId="16" fillId="0" borderId="4" xfId="14" applyFont="1" applyBorder="1" applyAlignment="1">
      <alignment horizontal="center" vertical="center"/>
    </xf>
    <xf numFmtId="4" fontId="13" fillId="0" borderId="7" xfId="0" applyNumberFormat="1" applyFont="1" applyBorder="1"/>
    <xf numFmtId="4" fontId="13" fillId="0" borderId="8" xfId="0" applyNumberFormat="1" applyFont="1" applyBorder="1"/>
    <xf numFmtId="4" fontId="13" fillId="0" borderId="20" xfId="0" applyNumberFormat="1" applyFont="1" applyBorder="1"/>
    <xf numFmtId="0" fontId="16" fillId="0" borderId="31" xfId="14" applyFont="1" applyBorder="1" applyAlignment="1">
      <alignment horizontal="center" vertical="center"/>
    </xf>
    <xf numFmtId="0" fontId="16" fillId="0" borderId="45" xfId="14" applyFont="1" applyBorder="1" applyAlignment="1">
      <alignment vertical="center" wrapText="1"/>
    </xf>
    <xf numFmtId="0" fontId="16" fillId="0" borderId="7" xfId="14" applyFont="1" applyBorder="1" applyAlignment="1">
      <alignment vertical="center" wrapText="1"/>
    </xf>
    <xf numFmtId="3" fontId="16" fillId="0" borderId="0" xfId="0" applyNumberFormat="1" applyFont="1"/>
    <xf numFmtId="3" fontId="13" fillId="3" borderId="19" xfId="0" applyNumberFormat="1" applyFont="1" applyFill="1" applyBorder="1" applyAlignment="1">
      <alignment horizontal="right" vertical="center"/>
    </xf>
    <xf numFmtId="3" fontId="17" fillId="0" borderId="62" xfId="0" applyNumberFormat="1" applyFont="1" applyBorder="1" applyAlignment="1">
      <alignment horizontal="right" vertical="center"/>
    </xf>
    <xf numFmtId="165" fontId="13" fillId="0" borderId="14" xfId="0" applyNumberFormat="1" applyFont="1" applyBorder="1" applyAlignment="1">
      <alignment horizontal="right" vertical="center"/>
    </xf>
    <xf numFmtId="165" fontId="13" fillId="0" borderId="18" xfId="0" applyNumberFormat="1" applyFont="1" applyBorder="1" applyAlignment="1">
      <alignment horizontal="right" vertical="center"/>
    </xf>
    <xf numFmtId="0" fontId="34" fillId="0" borderId="0" xfId="0" applyFont="1" applyAlignment="1">
      <alignment horizontal="center"/>
    </xf>
    <xf numFmtId="0" fontId="32" fillId="0" borderId="0" xfId="0" applyFont="1" applyAlignment="1">
      <alignment horizontal="center"/>
    </xf>
    <xf numFmtId="0" fontId="18" fillId="0" borderId="0" xfId="0" applyFont="1" applyAlignment="1">
      <alignment horizontal="left" vertical="center" wrapText="1"/>
    </xf>
    <xf numFmtId="1" fontId="16" fillId="6" borderId="54" xfId="15" applyNumberFormat="1" applyFont="1" applyFill="1" applyBorder="1" applyAlignment="1">
      <alignment horizontal="center" vertical="center" wrapText="1"/>
    </xf>
    <xf numFmtId="1" fontId="16" fillId="6" borderId="21" xfId="15" applyNumberFormat="1" applyFont="1" applyFill="1" applyBorder="1" applyAlignment="1">
      <alignment horizontal="center" vertical="center" wrapText="1"/>
    </xf>
    <xf numFmtId="0" fontId="16" fillId="6" borderId="53" xfId="1" applyFont="1" applyFill="1" applyBorder="1" applyAlignment="1">
      <alignment horizontal="center" vertical="center"/>
    </xf>
    <xf numFmtId="0" fontId="16" fillId="6" borderId="33" xfId="1" applyFont="1" applyFill="1" applyBorder="1" applyAlignment="1">
      <alignment horizontal="center" vertical="center"/>
    </xf>
    <xf numFmtId="1" fontId="16" fillId="6" borderId="69" xfId="15" applyNumberFormat="1" applyFont="1" applyFill="1" applyBorder="1" applyAlignment="1">
      <alignment horizontal="center" vertical="center" wrapText="1"/>
    </xf>
    <xf numFmtId="3" fontId="16" fillId="3" borderId="40" xfId="1" applyNumberFormat="1" applyFont="1" applyFill="1" applyBorder="1" applyAlignment="1">
      <alignment horizontal="center" vertical="center" wrapText="1"/>
    </xf>
    <xf numFmtId="3" fontId="16" fillId="3" borderId="61" xfId="1" applyNumberFormat="1" applyFont="1" applyFill="1" applyBorder="1" applyAlignment="1">
      <alignment horizontal="center" vertical="center" wrapText="1"/>
    </xf>
    <xf numFmtId="0" fontId="11" fillId="6" borderId="40" xfId="1" applyFont="1" applyFill="1" applyBorder="1" applyAlignment="1">
      <alignment horizontal="center" vertical="center" wrapText="1"/>
    </xf>
    <xf numFmtId="0" fontId="11" fillId="6" borderId="61" xfId="1" applyFont="1" applyFill="1" applyBorder="1" applyAlignment="1">
      <alignment horizontal="center" vertical="center" wrapText="1"/>
    </xf>
    <xf numFmtId="0" fontId="17" fillId="8" borderId="54" xfId="0" applyFont="1" applyFill="1" applyBorder="1" applyAlignment="1">
      <alignment horizontal="left" vertical="center" wrapText="1"/>
    </xf>
    <xf numFmtId="0" fontId="17" fillId="8" borderId="69" xfId="0" applyFont="1" applyFill="1" applyBorder="1" applyAlignment="1">
      <alignment horizontal="left" vertical="center" wrapText="1"/>
    </xf>
    <xf numFmtId="0" fontId="17" fillId="8" borderId="21" xfId="0" applyFont="1" applyFill="1" applyBorder="1" applyAlignment="1">
      <alignment horizontal="left" vertical="center" wrapText="1"/>
    </xf>
    <xf numFmtId="0" fontId="17" fillId="7" borderId="54" xfId="0" applyFont="1" applyFill="1" applyBorder="1" applyAlignment="1">
      <alignment horizontal="left" vertical="center" wrapText="1"/>
    </xf>
    <xf numFmtId="0" fontId="17" fillId="7" borderId="69" xfId="0" applyFont="1" applyFill="1" applyBorder="1" applyAlignment="1">
      <alignment horizontal="left" vertical="center" wrapText="1"/>
    </xf>
    <xf numFmtId="0" fontId="17" fillId="7" borderId="21" xfId="0" applyFont="1" applyFill="1" applyBorder="1" applyAlignment="1">
      <alignment horizontal="left" vertical="center" wrapText="1"/>
    </xf>
    <xf numFmtId="0" fontId="16" fillId="6" borderId="40" xfId="1" applyFont="1" applyFill="1" applyBorder="1" applyAlignment="1">
      <alignment horizontal="center" vertical="center"/>
    </xf>
    <xf numFmtId="0" fontId="16" fillId="6" borderId="61" xfId="1" applyFont="1" applyFill="1" applyBorder="1" applyAlignment="1">
      <alignment horizontal="center" vertical="center"/>
    </xf>
    <xf numFmtId="0" fontId="16" fillId="8" borderId="54" xfId="0" applyFont="1" applyFill="1" applyBorder="1" applyAlignment="1">
      <alignment vertical="center" wrapText="1"/>
    </xf>
    <xf numFmtId="0" fontId="16" fillId="8" borderId="69" xfId="0" applyFont="1" applyFill="1" applyBorder="1" applyAlignment="1">
      <alignment vertical="center" wrapText="1"/>
    </xf>
    <xf numFmtId="0" fontId="16" fillId="8" borderId="21" xfId="0" applyFont="1" applyFill="1" applyBorder="1" applyAlignment="1">
      <alignment vertical="center" wrapText="1"/>
    </xf>
    <xf numFmtId="0" fontId="16" fillId="7" borderId="54" xfId="0" applyFont="1" applyFill="1" applyBorder="1" applyAlignment="1">
      <alignment vertical="center" wrapText="1"/>
    </xf>
    <xf numFmtId="0" fontId="16" fillId="7" borderId="69" xfId="0" applyFont="1" applyFill="1" applyBorder="1" applyAlignment="1">
      <alignment vertical="center" wrapText="1"/>
    </xf>
    <xf numFmtId="0" fontId="16" fillId="7" borderId="21" xfId="0" applyFont="1" applyFill="1" applyBorder="1" applyAlignment="1">
      <alignment vertical="center" wrapText="1"/>
    </xf>
    <xf numFmtId="3" fontId="16" fillId="6" borderId="76" xfId="1" applyNumberFormat="1" applyFont="1" applyFill="1" applyBorder="1" applyAlignment="1">
      <alignment horizontal="center" vertical="center" wrapText="1"/>
    </xf>
    <xf numFmtId="3" fontId="16" fillId="6" borderId="78" xfId="1" applyNumberFormat="1" applyFont="1" applyFill="1" applyBorder="1" applyAlignment="1">
      <alignment horizontal="center" vertical="center" wrapText="1"/>
    </xf>
    <xf numFmtId="49" fontId="14" fillId="0" borderId="0" xfId="2" applyNumberFormat="1" applyFont="1" applyAlignment="1">
      <alignment horizontal="left" vertical="center"/>
    </xf>
    <xf numFmtId="49" fontId="21" fillId="0" borderId="0" xfId="2" applyNumberFormat="1" applyFont="1" applyAlignment="1">
      <alignment horizontal="left" vertical="center"/>
    </xf>
    <xf numFmtId="0" fontId="16" fillId="6" borderId="32" xfId="1" applyFont="1" applyFill="1" applyBorder="1" applyAlignment="1">
      <alignment horizontal="center" vertical="center"/>
    </xf>
    <xf numFmtId="0" fontId="16" fillId="6" borderId="31" xfId="1" applyFont="1" applyFill="1" applyBorder="1" applyAlignment="1">
      <alignment horizontal="center" vertical="center"/>
    </xf>
    <xf numFmtId="3" fontId="17" fillId="6" borderId="3" xfId="1" applyNumberFormat="1" applyFont="1" applyFill="1" applyBorder="1" applyAlignment="1">
      <alignment horizontal="center" vertical="center" wrapText="1"/>
    </xf>
    <xf numFmtId="3" fontId="17" fillId="6" borderId="31" xfId="1" applyNumberFormat="1" applyFont="1" applyFill="1" applyBorder="1" applyAlignment="1">
      <alignment horizontal="center" vertical="center" wrapText="1"/>
    </xf>
    <xf numFmtId="3" fontId="17" fillId="6" borderId="17" xfId="1" applyNumberFormat="1" applyFont="1" applyFill="1" applyBorder="1" applyAlignment="1">
      <alignment horizontal="center" vertical="center" wrapText="1"/>
    </xf>
    <xf numFmtId="3" fontId="17" fillId="6" borderId="22" xfId="1" applyNumberFormat="1" applyFont="1" applyFill="1" applyBorder="1" applyAlignment="1">
      <alignment horizontal="center" vertical="center" wrapText="1"/>
    </xf>
    <xf numFmtId="3" fontId="16" fillId="3" borderId="40" xfId="0" applyNumberFormat="1" applyFont="1" applyFill="1" applyBorder="1" applyAlignment="1">
      <alignment horizontal="center" vertical="center" wrapText="1"/>
    </xf>
    <xf numFmtId="3" fontId="16" fillId="3" borderId="28" xfId="0" applyNumberFormat="1" applyFont="1" applyFill="1" applyBorder="1" applyAlignment="1">
      <alignment horizontal="center" vertical="center" wrapText="1"/>
    </xf>
    <xf numFmtId="3" fontId="16" fillId="3" borderId="61" xfId="0" applyNumberFormat="1" applyFont="1" applyFill="1" applyBorder="1" applyAlignment="1">
      <alignment horizontal="center" vertical="center" wrapText="1"/>
    </xf>
    <xf numFmtId="3" fontId="16" fillId="6" borderId="40" xfId="1" applyNumberFormat="1" applyFont="1" applyFill="1" applyBorder="1" applyAlignment="1">
      <alignment horizontal="center" vertical="center" wrapText="1"/>
    </xf>
    <xf numFmtId="3" fontId="16" fillId="6" borderId="28" xfId="1" applyNumberFormat="1" applyFont="1" applyFill="1" applyBorder="1" applyAlignment="1">
      <alignment horizontal="center" vertical="center" wrapText="1"/>
    </xf>
    <xf numFmtId="3" fontId="16" fillId="6" borderId="61" xfId="1" applyNumberFormat="1" applyFont="1" applyFill="1" applyBorder="1" applyAlignment="1">
      <alignment horizontal="center" vertical="center" wrapText="1"/>
    </xf>
    <xf numFmtId="3" fontId="17" fillId="3" borderId="3" xfId="1" applyNumberFormat="1" applyFont="1" applyFill="1" applyBorder="1" applyAlignment="1">
      <alignment horizontal="center" vertical="center" wrapText="1"/>
    </xf>
    <xf numFmtId="3" fontId="17" fillId="3" borderId="31" xfId="1" applyNumberFormat="1" applyFont="1" applyFill="1" applyBorder="1" applyAlignment="1">
      <alignment horizontal="center" vertical="center" wrapText="1"/>
    </xf>
    <xf numFmtId="3" fontId="17" fillId="3" borderId="9" xfId="1" applyNumberFormat="1" applyFont="1" applyFill="1" applyBorder="1" applyAlignment="1">
      <alignment horizontal="center" vertical="center" wrapText="1"/>
    </xf>
    <xf numFmtId="3" fontId="17" fillId="3" borderId="30" xfId="1" applyNumberFormat="1" applyFont="1" applyFill="1" applyBorder="1" applyAlignment="1">
      <alignment horizontal="center" vertical="center" wrapText="1"/>
    </xf>
    <xf numFmtId="3" fontId="17" fillId="3" borderId="43" xfId="0" applyNumberFormat="1" applyFont="1" applyFill="1" applyBorder="1" applyAlignment="1">
      <alignment horizontal="center" vertical="center" wrapText="1"/>
    </xf>
    <xf numFmtId="3" fontId="17" fillId="3" borderId="44" xfId="0" applyNumberFormat="1" applyFont="1" applyFill="1" applyBorder="1" applyAlignment="1">
      <alignment horizontal="center" vertical="center" wrapText="1"/>
    </xf>
    <xf numFmtId="0" fontId="14" fillId="0" borderId="0" xfId="1" applyFont="1" applyAlignment="1">
      <alignment vertical="center" wrapText="1"/>
    </xf>
    <xf numFmtId="0" fontId="16" fillId="6" borderId="40" xfId="1" applyFont="1" applyFill="1" applyBorder="1" applyAlignment="1">
      <alignment horizontal="center" vertical="center" wrapText="1"/>
    </xf>
    <xf numFmtId="0" fontId="16" fillId="6" borderId="28" xfId="1" applyFont="1" applyFill="1" applyBorder="1" applyAlignment="1">
      <alignment horizontal="center" vertical="center" wrapText="1"/>
    </xf>
    <xf numFmtId="0" fontId="16" fillId="6" borderId="61" xfId="1" applyFont="1" applyFill="1" applyBorder="1" applyAlignment="1">
      <alignment horizontal="center" vertical="center" wrapText="1"/>
    </xf>
    <xf numFmtId="0" fontId="16" fillId="3" borderId="40" xfId="0" applyFont="1" applyFill="1" applyBorder="1" applyAlignment="1">
      <alignment horizontal="center" vertical="center" wrapText="1"/>
    </xf>
    <xf numFmtId="0" fontId="16" fillId="3" borderId="28" xfId="0" applyFont="1" applyFill="1" applyBorder="1" applyAlignment="1">
      <alignment horizontal="center" vertical="center" wrapText="1"/>
    </xf>
    <xf numFmtId="0" fontId="16" fillId="3" borderId="61" xfId="0" applyFont="1" applyFill="1" applyBorder="1" applyAlignment="1">
      <alignment horizontal="center" vertical="center" wrapText="1"/>
    </xf>
    <xf numFmtId="0" fontId="16" fillId="0" borderId="0" xfId="1" applyFont="1" applyAlignment="1">
      <alignment vertical="center" wrapText="1"/>
    </xf>
    <xf numFmtId="0" fontId="16" fillId="6" borderId="54" xfId="0" applyFont="1" applyFill="1" applyBorder="1" applyAlignment="1">
      <alignment horizontal="center" vertical="center" wrapText="1"/>
    </xf>
    <xf numFmtId="0" fontId="16" fillId="6" borderId="69" xfId="0" applyFont="1" applyFill="1" applyBorder="1" applyAlignment="1">
      <alignment horizontal="center" vertical="center" wrapText="1"/>
    </xf>
    <xf numFmtId="0" fontId="16" fillId="6" borderId="21" xfId="0" applyFont="1" applyFill="1" applyBorder="1" applyAlignment="1">
      <alignment horizontal="center" vertical="center" wrapText="1"/>
    </xf>
    <xf numFmtId="3" fontId="16" fillId="3" borderId="54" xfId="1" applyNumberFormat="1" applyFont="1" applyFill="1" applyBorder="1" applyAlignment="1">
      <alignment horizontal="center" vertical="center" wrapText="1"/>
    </xf>
    <xf numFmtId="3" fontId="16" fillId="3" borderId="69" xfId="1" applyNumberFormat="1" applyFont="1" applyFill="1" applyBorder="1" applyAlignment="1">
      <alignment horizontal="center" vertical="center" wrapText="1"/>
    </xf>
    <xf numFmtId="3" fontId="16" fillId="3" borderId="21" xfId="1" applyNumberFormat="1" applyFont="1" applyFill="1" applyBorder="1" applyAlignment="1">
      <alignment horizontal="center" vertical="center" wrapText="1"/>
    </xf>
    <xf numFmtId="3" fontId="16" fillId="0" borderId="0" xfId="1" applyNumberFormat="1" applyFont="1" applyAlignment="1">
      <alignment vertical="center" wrapText="1"/>
    </xf>
    <xf numFmtId="3" fontId="16" fillId="6" borderId="54" xfId="0" applyNumberFormat="1" applyFont="1" applyFill="1" applyBorder="1" applyAlignment="1">
      <alignment horizontal="center" vertical="center" wrapText="1"/>
    </xf>
    <xf numFmtId="3" fontId="16" fillId="6" borderId="69" xfId="0" applyNumberFormat="1" applyFont="1" applyFill="1" applyBorder="1" applyAlignment="1">
      <alignment horizontal="center" vertical="center" wrapText="1"/>
    </xf>
    <xf numFmtId="3" fontId="16" fillId="6" borderId="21" xfId="0" applyNumberFormat="1" applyFont="1" applyFill="1" applyBorder="1" applyAlignment="1">
      <alignment horizontal="center" vertical="center" wrapText="1"/>
    </xf>
    <xf numFmtId="0" fontId="16" fillId="0" borderId="56" xfId="0" applyFont="1" applyBorder="1" applyAlignment="1">
      <alignment vertical="center" wrapText="1"/>
    </xf>
    <xf numFmtId="0" fontId="16" fillId="0" borderId="24" xfId="0" applyFont="1" applyBorder="1" applyAlignment="1">
      <alignment vertical="center" wrapText="1"/>
    </xf>
    <xf numFmtId="14" fontId="16" fillId="6" borderId="39" xfId="1" applyNumberFormat="1" applyFont="1" applyFill="1" applyBorder="1" applyAlignment="1">
      <alignment horizontal="center" vertical="center" wrapText="1"/>
    </xf>
    <xf numFmtId="14" fontId="16" fillId="6" borderId="27" xfId="1" applyNumberFormat="1" applyFont="1" applyFill="1" applyBorder="1" applyAlignment="1">
      <alignment horizontal="center" vertical="center" wrapText="1"/>
    </xf>
    <xf numFmtId="14" fontId="16" fillId="6" borderId="34" xfId="1" applyNumberFormat="1" applyFont="1" applyFill="1" applyBorder="1" applyAlignment="1">
      <alignment horizontal="center" vertical="center" wrapText="1"/>
    </xf>
    <xf numFmtId="0" fontId="16" fillId="6" borderId="39" xfId="1" applyFont="1" applyFill="1" applyBorder="1" applyAlignment="1">
      <alignment horizontal="center" vertical="center"/>
    </xf>
    <xf numFmtId="0" fontId="16" fillId="6" borderId="34" xfId="1" applyFont="1" applyFill="1" applyBorder="1" applyAlignment="1">
      <alignment horizontal="center" vertical="center"/>
    </xf>
    <xf numFmtId="0" fontId="17" fillId="0" borderId="54" xfId="0" applyFont="1" applyBorder="1" applyAlignment="1">
      <alignment vertical="center" wrapText="1"/>
    </xf>
    <xf numFmtId="0" fontId="17" fillId="0" borderId="69" xfId="0" applyFont="1" applyBorder="1" applyAlignment="1">
      <alignment vertical="center" wrapText="1"/>
    </xf>
    <xf numFmtId="0" fontId="13" fillId="0" borderId="54" xfId="0" applyFont="1" applyBorder="1" applyAlignment="1">
      <alignment vertical="center" wrapText="1"/>
    </xf>
    <xf numFmtId="0" fontId="13" fillId="0" borderId="21" xfId="0" applyFont="1" applyBorder="1" applyAlignment="1">
      <alignment vertical="center" wrapText="1"/>
    </xf>
    <xf numFmtId="0" fontId="13" fillId="0" borderId="47" xfId="0" applyFont="1" applyBorder="1" applyAlignment="1">
      <alignment vertical="center" wrapText="1"/>
    </xf>
    <xf numFmtId="0" fontId="13" fillId="0" borderId="22" xfId="0" applyFont="1" applyBorder="1" applyAlignment="1">
      <alignment vertical="center" wrapText="1"/>
    </xf>
    <xf numFmtId="0" fontId="13" fillId="0" borderId="55" xfId="0" applyFont="1" applyBorder="1" applyAlignment="1">
      <alignment vertical="center" wrapText="1"/>
    </xf>
    <xf numFmtId="0" fontId="13" fillId="0" borderId="23" xfId="0" applyFont="1" applyBorder="1" applyAlignment="1">
      <alignment vertical="center" wrapText="1"/>
    </xf>
    <xf numFmtId="0" fontId="23" fillId="0" borderId="3" xfId="0" applyFont="1" applyBorder="1" applyAlignment="1">
      <alignment vertical="top"/>
    </xf>
    <xf numFmtId="0" fontId="23" fillId="0" borderId="31" xfId="0" applyFont="1" applyBorder="1" applyAlignment="1">
      <alignment vertical="top"/>
    </xf>
    <xf numFmtId="0" fontId="23" fillId="0" borderId="4" xfId="0" applyFont="1" applyBorder="1" applyAlignment="1">
      <alignment vertical="top"/>
    </xf>
    <xf numFmtId="3" fontId="16" fillId="0" borderId="40" xfId="0" applyNumberFormat="1" applyFont="1" applyBorder="1" applyAlignment="1">
      <alignment horizontal="center" vertical="center"/>
    </xf>
    <xf numFmtId="3" fontId="16" fillId="0" borderId="28" xfId="0" applyNumberFormat="1" applyFont="1" applyBorder="1" applyAlignment="1">
      <alignment horizontal="center" vertical="center"/>
    </xf>
    <xf numFmtId="3" fontId="16" fillId="0" borderId="61" xfId="0" applyNumberFormat="1" applyFont="1" applyBorder="1" applyAlignment="1">
      <alignment horizontal="center" vertical="center"/>
    </xf>
    <xf numFmtId="14" fontId="17" fillId="0" borderId="40" xfId="0" applyNumberFormat="1" applyFont="1" applyBorder="1" applyAlignment="1">
      <alignment horizontal="center" vertical="center" wrapText="1"/>
    </xf>
    <xf numFmtId="14" fontId="17" fillId="0" borderId="28" xfId="0" applyNumberFormat="1" applyFont="1" applyBorder="1" applyAlignment="1">
      <alignment horizontal="center" vertical="center" wrapText="1"/>
    </xf>
    <xf numFmtId="14" fontId="17" fillId="0" borderId="61" xfId="0" applyNumberFormat="1" applyFont="1" applyBorder="1" applyAlignment="1">
      <alignment horizontal="center" vertical="center" wrapText="1"/>
    </xf>
    <xf numFmtId="3" fontId="17" fillId="0" borderId="40" xfId="0" applyNumberFormat="1" applyFont="1" applyBorder="1" applyAlignment="1">
      <alignment vertical="center" wrapText="1"/>
    </xf>
    <xf numFmtId="3" fontId="17" fillId="0" borderId="28" xfId="0" applyNumberFormat="1" applyFont="1" applyBorder="1" applyAlignment="1">
      <alignment vertical="center" wrapText="1"/>
    </xf>
    <xf numFmtId="3" fontId="17" fillId="0" borderId="61" xfId="0" applyNumberFormat="1" applyFont="1" applyBorder="1" applyAlignment="1">
      <alignment vertical="center" wrapText="1"/>
    </xf>
    <xf numFmtId="0" fontId="23" fillId="0" borderId="3" xfId="0" applyFont="1" applyBorder="1" applyAlignment="1">
      <alignment horizontal="center" vertical="top"/>
    </xf>
    <xf numFmtId="0" fontId="23" fillId="0" borderId="4" xfId="0" applyFont="1" applyBorder="1" applyAlignment="1">
      <alignment horizontal="center" vertical="top"/>
    </xf>
    <xf numFmtId="0" fontId="23" fillId="0" borderId="13" xfId="0" applyFont="1" applyBorder="1" applyAlignment="1">
      <alignment horizontal="center" vertical="top"/>
    </xf>
    <xf numFmtId="0" fontId="16" fillId="0" borderId="56" xfId="0" applyFont="1" applyBorder="1" applyAlignment="1">
      <alignment horizontal="left" vertical="center" wrapText="1"/>
    </xf>
    <xf numFmtId="0" fontId="16" fillId="0" borderId="65" xfId="0" applyFont="1" applyBorder="1" applyAlignment="1">
      <alignment horizontal="left" vertical="center" wrapText="1"/>
    </xf>
    <xf numFmtId="0" fontId="16" fillId="0" borderId="17" xfId="14" applyFont="1" applyBorder="1" applyAlignment="1">
      <alignment vertical="center" wrapText="1"/>
    </xf>
    <xf numFmtId="0" fontId="16" fillId="0" borderId="22" xfId="14" applyFont="1" applyBorder="1" applyAlignment="1">
      <alignment vertical="center" wrapText="1"/>
    </xf>
    <xf numFmtId="0" fontId="16" fillId="0" borderId="37" xfId="14" applyFont="1" applyBorder="1" applyAlignment="1">
      <alignment vertical="center" wrapText="1"/>
    </xf>
    <xf numFmtId="0" fontId="16" fillId="0" borderId="26" xfId="14" applyFont="1" applyBorder="1" applyAlignment="1">
      <alignment vertical="center" wrapText="1"/>
    </xf>
    <xf numFmtId="0" fontId="16" fillId="6" borderId="36" xfId="14" applyFont="1" applyFill="1" applyBorder="1" applyAlignment="1">
      <alignment vertical="center"/>
    </xf>
    <xf numFmtId="0" fontId="16" fillId="6" borderId="24" xfId="14" applyFont="1" applyFill="1" applyBorder="1" applyAlignment="1">
      <alignment vertical="center"/>
    </xf>
    <xf numFmtId="0" fontId="16" fillId="0" borderId="3" xfId="14" applyFont="1" applyBorder="1" applyAlignment="1">
      <alignment horizontal="center" vertical="center"/>
    </xf>
    <xf numFmtId="0" fontId="16" fillId="0" borderId="4" xfId="14" applyFont="1" applyBorder="1" applyAlignment="1">
      <alignment horizontal="center" vertical="center"/>
    </xf>
    <xf numFmtId="0" fontId="16" fillId="0" borderId="75" xfId="14" applyFont="1" applyBorder="1" applyAlignment="1">
      <alignment vertical="center" wrapText="1"/>
    </xf>
    <xf numFmtId="0" fontId="16" fillId="0" borderId="21" xfId="14" applyFont="1" applyBorder="1" applyAlignment="1">
      <alignment vertical="center" wrapText="1"/>
    </xf>
    <xf numFmtId="0" fontId="20" fillId="0" borderId="0" xfId="14" applyFont="1" applyAlignment="1">
      <alignment horizontal="center" wrapText="1"/>
    </xf>
    <xf numFmtId="0" fontId="32" fillId="0" borderId="0" xfId="0" applyFont="1"/>
    <xf numFmtId="0" fontId="13" fillId="6" borderId="32" xfId="15" applyFont="1" applyFill="1" applyBorder="1" applyAlignment="1">
      <alignment horizontal="center" vertical="center"/>
    </xf>
    <xf numFmtId="0" fontId="13" fillId="6" borderId="31" xfId="15" applyFont="1" applyFill="1" applyBorder="1" applyAlignment="1">
      <alignment horizontal="center" vertical="center"/>
    </xf>
    <xf numFmtId="4" fontId="16" fillId="3" borderId="54" xfId="15" applyNumberFormat="1" applyFont="1" applyFill="1" applyBorder="1" applyAlignment="1">
      <alignment horizontal="center" vertical="center" wrapText="1"/>
    </xf>
    <xf numFmtId="4" fontId="16" fillId="3" borderId="69" xfId="15" applyNumberFormat="1" applyFont="1" applyFill="1" applyBorder="1" applyAlignment="1">
      <alignment horizontal="center" vertical="center" wrapText="1"/>
    </xf>
    <xf numFmtId="4" fontId="16" fillId="3" borderId="21" xfId="15" applyNumberFormat="1" applyFont="1" applyFill="1" applyBorder="1" applyAlignment="1">
      <alignment horizontal="center" vertical="center" wrapText="1"/>
    </xf>
    <xf numFmtId="166" fontId="11" fillId="6" borderId="32" xfId="15" applyNumberFormat="1" applyFont="1" applyFill="1" applyBorder="1" applyAlignment="1">
      <alignment horizontal="center" vertical="center" wrapText="1"/>
    </xf>
    <xf numFmtId="166" fontId="11" fillId="6" borderId="31" xfId="15" applyNumberFormat="1" applyFont="1" applyFill="1" applyBorder="1" applyAlignment="1">
      <alignment horizontal="center" vertical="center" wrapText="1"/>
    </xf>
    <xf numFmtId="166" fontId="11" fillId="6" borderId="39" xfId="15" applyNumberFormat="1" applyFont="1" applyFill="1" applyBorder="1" applyAlignment="1">
      <alignment horizontal="center" vertical="center" wrapText="1"/>
    </xf>
    <xf numFmtId="166" fontId="11" fillId="6" borderId="34" xfId="15" applyNumberFormat="1" applyFont="1" applyFill="1" applyBorder="1" applyAlignment="1">
      <alignment horizontal="center" vertical="center" wrapText="1"/>
    </xf>
    <xf numFmtId="0" fontId="13" fillId="6" borderId="74" xfId="15" applyFont="1" applyFill="1" applyBorder="1" applyAlignment="1">
      <alignment horizontal="center" vertical="center"/>
    </xf>
    <xf numFmtId="0" fontId="13" fillId="6" borderId="39" xfId="15" applyFont="1" applyFill="1" applyBorder="1" applyAlignment="1">
      <alignment horizontal="center" vertical="center"/>
    </xf>
    <xf numFmtId="0" fontId="13" fillId="6" borderId="68" xfId="15" applyFont="1" applyFill="1" applyBorder="1" applyAlignment="1">
      <alignment horizontal="center" vertical="center"/>
    </xf>
    <xf numFmtId="0" fontId="13" fillId="6" borderId="34" xfId="15" applyFont="1" applyFill="1" applyBorder="1" applyAlignment="1">
      <alignment horizontal="center" vertical="center"/>
    </xf>
    <xf numFmtId="0" fontId="23" fillId="0" borderId="9" xfId="14" applyFont="1" applyBorder="1" applyAlignment="1">
      <alignment horizontal="center" vertical="top"/>
    </xf>
    <xf numFmtId="0" fontId="23" fillId="0" borderId="29" xfId="14" applyFont="1" applyBorder="1" applyAlignment="1">
      <alignment horizontal="center" vertical="top"/>
    </xf>
    <xf numFmtId="0" fontId="23" fillId="0" borderId="15" xfId="14" applyFont="1" applyBorder="1" applyAlignment="1">
      <alignment horizontal="center" vertical="top"/>
    </xf>
    <xf numFmtId="0" fontId="16" fillId="0" borderId="13" xfId="14" applyFont="1" applyBorder="1" applyAlignment="1">
      <alignment horizontal="center" vertical="center"/>
    </xf>
    <xf numFmtId="0" fontId="16" fillId="0" borderId="75" xfId="14" applyFont="1" applyBorder="1" applyAlignment="1">
      <alignment vertical="center"/>
    </xf>
    <xf numFmtId="0" fontId="16" fillId="0" borderId="21" xfId="14" applyFont="1" applyBorder="1" applyAlignment="1">
      <alignment vertical="center"/>
    </xf>
    <xf numFmtId="0" fontId="16" fillId="0" borderId="38" xfId="14" applyFont="1" applyBorder="1" applyAlignment="1">
      <alignment vertical="center"/>
    </xf>
    <xf numFmtId="0" fontId="16" fillId="0" borderId="25" xfId="14" applyFont="1" applyBorder="1" applyAlignment="1">
      <alignment vertical="center"/>
    </xf>
    <xf numFmtId="0" fontId="16" fillId="0" borderId="32" xfId="14" applyFont="1" applyBorder="1" applyAlignment="1">
      <alignment horizontal="center" vertical="center"/>
    </xf>
    <xf numFmtId="0" fontId="23" fillId="0" borderId="9" xfId="14" applyFont="1" applyBorder="1" applyAlignment="1">
      <alignment vertical="top"/>
    </xf>
    <xf numFmtId="0" fontId="23" fillId="0" borderId="15" xfId="14" applyFont="1" applyBorder="1" applyAlignment="1">
      <alignment vertical="top"/>
    </xf>
    <xf numFmtId="0" fontId="16" fillId="0" borderId="17" xfId="14" applyFont="1" applyBorder="1" applyAlignment="1">
      <alignment vertical="center"/>
    </xf>
    <xf numFmtId="0" fontId="16" fillId="0" borderId="22" xfId="14" applyFont="1" applyBorder="1" applyAlignment="1">
      <alignment vertical="center"/>
    </xf>
    <xf numFmtId="0" fontId="16" fillId="5" borderId="3" xfId="14" applyFont="1" applyFill="1" applyBorder="1" applyAlignment="1">
      <alignment horizontal="center" vertical="center"/>
    </xf>
    <xf numFmtId="0" fontId="16" fillId="5" borderId="4" xfId="14" applyFont="1" applyFill="1" applyBorder="1" applyAlignment="1">
      <alignment horizontal="center" vertical="center"/>
    </xf>
    <xf numFmtId="0" fontId="16" fillId="5" borderId="13" xfId="14" applyFont="1" applyFill="1" applyBorder="1" applyAlignment="1">
      <alignment horizontal="center" vertical="center"/>
    </xf>
    <xf numFmtId="0" fontId="16" fillId="5" borderId="75" xfId="14" applyFont="1" applyFill="1" applyBorder="1" applyAlignment="1">
      <alignment vertical="center" wrapText="1"/>
    </xf>
    <xf numFmtId="0" fontId="16" fillId="5" borderId="69" xfId="14" applyFont="1" applyFill="1" applyBorder="1" applyAlignment="1">
      <alignment vertical="center" wrapText="1"/>
    </xf>
    <xf numFmtId="0" fontId="16" fillId="5" borderId="17" xfId="14" applyFont="1" applyFill="1" applyBorder="1" applyAlignment="1">
      <alignment vertical="center" wrapText="1"/>
    </xf>
    <xf numFmtId="0" fontId="16" fillId="5" borderId="22" xfId="14" applyFont="1" applyFill="1" applyBorder="1" applyAlignment="1">
      <alignment vertical="center" wrapText="1"/>
    </xf>
    <xf numFmtId="0" fontId="16" fillId="5" borderId="73" xfId="14" applyFont="1" applyFill="1" applyBorder="1" applyAlignment="1">
      <alignment vertical="center" wrapText="1"/>
    </xf>
    <xf numFmtId="0" fontId="16" fillId="5" borderId="23" xfId="14" applyFont="1" applyFill="1" applyBorder="1" applyAlignment="1">
      <alignment vertical="center" wrapText="1"/>
    </xf>
    <xf numFmtId="0" fontId="16" fillId="5" borderId="70" xfId="14" applyFont="1" applyFill="1" applyBorder="1" applyAlignment="1">
      <alignment vertical="center" wrapText="1"/>
    </xf>
    <xf numFmtId="0" fontId="23" fillId="5" borderId="9" xfId="14" applyFont="1" applyFill="1" applyBorder="1" applyAlignment="1">
      <alignment horizontal="center" vertical="top" wrapText="1"/>
    </xf>
    <xf numFmtId="0" fontId="23" fillId="5" borderId="29" xfId="14" applyFont="1" applyFill="1" applyBorder="1" applyAlignment="1">
      <alignment horizontal="center" vertical="top" wrapText="1"/>
    </xf>
    <xf numFmtId="0" fontId="23" fillId="5" borderId="15" xfId="14" applyFont="1" applyFill="1" applyBorder="1" applyAlignment="1">
      <alignment horizontal="center" vertical="top" wrapText="1"/>
    </xf>
    <xf numFmtId="0" fontId="16" fillId="0" borderId="17" xfId="18" applyFont="1" applyBorder="1" applyAlignment="1">
      <alignment vertical="center"/>
    </xf>
    <xf numFmtId="0" fontId="16" fillId="0" borderId="22" xfId="18" applyFont="1" applyBorder="1" applyAlignment="1">
      <alignment vertical="center"/>
    </xf>
    <xf numFmtId="0" fontId="13" fillId="0" borderId="17" xfId="14" applyFont="1" applyBorder="1" applyAlignment="1">
      <alignment vertical="center" wrapText="1"/>
    </xf>
    <xf numFmtId="0" fontId="13" fillId="0" borderId="22" xfId="14" applyFont="1" applyBorder="1" applyAlignment="1">
      <alignment vertical="center" wrapText="1"/>
    </xf>
    <xf numFmtId="0" fontId="16" fillId="0" borderId="47" xfId="14" applyFont="1" applyBorder="1" applyAlignment="1">
      <alignment vertical="center" wrapText="1"/>
    </xf>
    <xf numFmtId="0" fontId="16" fillId="0" borderId="70" xfId="14" applyFont="1" applyBorder="1" applyAlignment="1">
      <alignment vertical="center" wrapText="1"/>
    </xf>
    <xf numFmtId="0" fontId="23" fillId="0" borderId="17" xfId="14" applyFont="1" applyBorder="1" applyAlignment="1">
      <alignment vertical="center" wrapText="1"/>
    </xf>
    <xf numFmtId="0" fontId="23" fillId="0" borderId="22" xfId="14" applyFont="1" applyBorder="1" applyAlignment="1">
      <alignment vertical="center" wrapText="1"/>
    </xf>
    <xf numFmtId="0" fontId="23" fillId="0" borderId="17" xfId="14" applyFont="1" applyBorder="1" applyAlignment="1">
      <alignment horizontal="left" vertical="center" wrapText="1"/>
    </xf>
    <xf numFmtId="0" fontId="23" fillId="0" borderId="22" xfId="14" applyFont="1" applyBorder="1" applyAlignment="1">
      <alignment horizontal="left" vertical="center" wrapText="1"/>
    </xf>
    <xf numFmtId="0" fontId="23" fillId="0" borderId="17" xfId="14" applyFont="1" applyBorder="1" applyAlignment="1">
      <alignment vertical="center"/>
    </xf>
    <xf numFmtId="0" fontId="23" fillId="0" borderId="22" xfId="14" applyFont="1" applyBorder="1" applyAlignment="1">
      <alignment vertical="center"/>
    </xf>
    <xf numFmtId="0" fontId="23" fillId="0" borderId="2" xfId="14" applyFont="1" applyBorder="1" applyAlignment="1">
      <alignment horizontal="right" vertical="top" wrapText="1"/>
    </xf>
    <xf numFmtId="0" fontId="23" fillId="0" borderId="70" xfId="14" applyFont="1" applyBorder="1" applyAlignment="1">
      <alignment vertical="center" wrapText="1"/>
    </xf>
    <xf numFmtId="0" fontId="16" fillId="0" borderId="54" xfId="14" applyFont="1" applyBorder="1" applyAlignment="1">
      <alignment vertical="center" wrapText="1"/>
    </xf>
    <xf numFmtId="0" fontId="16" fillId="0" borderId="69" xfId="14" applyFont="1" applyBorder="1" applyAlignment="1">
      <alignment vertical="center" wrapText="1"/>
    </xf>
    <xf numFmtId="0" fontId="16" fillId="0" borderId="47" xfId="14" applyFont="1" applyBorder="1" applyAlignment="1">
      <alignment vertical="center"/>
    </xf>
    <xf numFmtId="0" fontId="16" fillId="0" borderId="70" xfId="14" applyFont="1" applyBorder="1" applyAlignment="1">
      <alignment vertical="center"/>
    </xf>
    <xf numFmtId="0" fontId="23" fillId="0" borderId="9" xfId="14" applyFont="1" applyBorder="1" applyAlignment="1">
      <alignment horizontal="center" vertical="top" wrapText="1"/>
    </xf>
    <xf numFmtId="0" fontId="23" fillId="0" borderId="29" xfId="14" applyFont="1" applyBorder="1" applyAlignment="1">
      <alignment horizontal="center" vertical="top" wrapText="1"/>
    </xf>
    <xf numFmtId="0" fontId="23" fillId="0" borderId="15" xfId="14" applyFont="1" applyBorder="1" applyAlignment="1">
      <alignment horizontal="center" vertical="top" wrapText="1"/>
    </xf>
    <xf numFmtId="0" fontId="16" fillId="0" borderId="38" xfId="14" applyFont="1" applyBorder="1" applyAlignment="1">
      <alignment vertical="center" wrapText="1"/>
    </xf>
    <xf numFmtId="0" fontId="16" fillId="0" borderId="25" xfId="14" applyFont="1" applyBorder="1" applyAlignment="1">
      <alignment vertical="center" wrapText="1"/>
    </xf>
    <xf numFmtId="0" fontId="23" fillId="0" borderId="9" xfId="14" applyFont="1" applyBorder="1" applyAlignment="1">
      <alignment vertical="top" wrapText="1"/>
    </xf>
    <xf numFmtId="0" fontId="23" fillId="0" borderId="29" xfId="14" applyFont="1" applyBorder="1" applyAlignment="1">
      <alignment vertical="top" wrapText="1"/>
    </xf>
    <xf numFmtId="0" fontId="23" fillId="0" borderId="15" xfId="14" applyFont="1" applyBorder="1" applyAlignment="1">
      <alignment vertical="top" wrapText="1"/>
    </xf>
    <xf numFmtId="0" fontId="23" fillId="0" borderId="9" xfId="14" applyFont="1" applyBorder="1" applyAlignment="1">
      <alignment horizontal="left" vertical="top" wrapText="1"/>
    </xf>
    <xf numFmtId="0" fontId="23" fillId="0" borderId="29" xfId="14" applyFont="1" applyBorder="1" applyAlignment="1">
      <alignment horizontal="left" vertical="top" wrapText="1"/>
    </xf>
    <xf numFmtId="0" fontId="23" fillId="0" borderId="15" xfId="14" applyFont="1" applyBorder="1" applyAlignment="1">
      <alignment horizontal="left" vertical="top" wrapText="1"/>
    </xf>
    <xf numFmtId="4" fontId="11" fillId="0" borderId="0" xfId="14" applyNumberFormat="1" applyFont="1" applyAlignment="1">
      <alignment horizontal="center" vertical="center"/>
    </xf>
    <xf numFmtId="0" fontId="13" fillId="0" borderId="3" xfId="14" applyFont="1" applyBorder="1" applyAlignment="1">
      <alignment horizontal="center" vertical="center"/>
    </xf>
    <xf numFmtId="0" fontId="13" fillId="0" borderId="13" xfId="14" applyFont="1" applyBorder="1" applyAlignment="1">
      <alignment horizontal="center" vertical="center"/>
    </xf>
    <xf numFmtId="0" fontId="13" fillId="0" borderId="4" xfId="14" applyFont="1" applyBorder="1" applyAlignment="1">
      <alignment horizontal="center" vertical="center"/>
    </xf>
    <xf numFmtId="0" fontId="16" fillId="0" borderId="17" xfId="15" applyFont="1" applyBorder="1" applyAlignment="1">
      <alignment vertical="center" wrapText="1"/>
    </xf>
    <xf numFmtId="0" fontId="16" fillId="0" borderId="22" xfId="15" applyFont="1" applyBorder="1" applyAlignment="1">
      <alignment vertical="center" wrapText="1"/>
    </xf>
    <xf numFmtId="0" fontId="16" fillId="0" borderId="17" xfId="14" applyFont="1" applyBorder="1" applyAlignment="1">
      <alignment horizontal="left" vertical="center" wrapText="1"/>
    </xf>
    <xf numFmtId="0" fontId="16" fillId="0" borderId="22" xfId="14" applyFont="1" applyBorder="1" applyAlignment="1">
      <alignment horizontal="left" vertical="center" wrapText="1"/>
    </xf>
    <xf numFmtId="0" fontId="16" fillId="0" borderId="17" xfId="21" applyFont="1" applyBorder="1" applyAlignment="1">
      <alignment vertical="center" wrapText="1"/>
    </xf>
    <xf numFmtId="0" fontId="16" fillId="0" borderId="22" xfId="21" applyFont="1" applyBorder="1" applyAlignment="1">
      <alignment vertical="center" wrapText="1"/>
    </xf>
    <xf numFmtId="0" fontId="16" fillId="0" borderId="3" xfId="19" applyFont="1" applyBorder="1" applyAlignment="1">
      <alignment horizontal="center" vertical="center"/>
    </xf>
    <xf numFmtId="0" fontId="16" fillId="0" borderId="13" xfId="19" applyFont="1" applyBorder="1" applyAlignment="1">
      <alignment horizontal="center" vertical="center"/>
    </xf>
    <xf numFmtId="0" fontId="16" fillId="0" borderId="17" xfId="19" applyFont="1" applyBorder="1" applyAlignment="1">
      <alignment vertical="center" wrapText="1"/>
    </xf>
    <xf numFmtId="0" fontId="16" fillId="0" borderId="70" xfId="19" applyFont="1" applyBorder="1" applyAlignment="1">
      <alignment vertical="center" wrapText="1"/>
    </xf>
    <xf numFmtId="0" fontId="16" fillId="0" borderId="75" xfId="19" applyFont="1" applyBorder="1" applyAlignment="1">
      <alignment vertical="center" wrapText="1"/>
    </xf>
    <xf numFmtId="0" fontId="16" fillId="0" borderId="69" xfId="19" applyFont="1" applyBorder="1" applyAlignment="1">
      <alignment vertical="center" wrapText="1"/>
    </xf>
    <xf numFmtId="0" fontId="23" fillId="0" borderId="51" xfId="14" applyFont="1" applyBorder="1" applyAlignment="1">
      <alignment vertical="top"/>
    </xf>
    <xf numFmtId="0" fontId="23" fillId="0" borderId="49" xfId="14" applyFont="1" applyBorder="1" applyAlignment="1">
      <alignment vertical="top"/>
    </xf>
    <xf numFmtId="0" fontId="16" fillId="0" borderId="31" xfId="14" applyFont="1" applyBorder="1" applyAlignment="1">
      <alignment horizontal="center" vertical="center"/>
    </xf>
    <xf numFmtId="0" fontId="23" fillId="0" borderId="30" xfId="14" applyFont="1" applyBorder="1" applyAlignment="1">
      <alignment horizontal="center" vertical="top"/>
    </xf>
    <xf numFmtId="0" fontId="16" fillId="0" borderId="77" xfId="14" applyFont="1" applyBorder="1" applyAlignment="1">
      <alignment vertical="center"/>
    </xf>
    <xf numFmtId="0" fontId="23" fillId="0" borderId="51" xfId="14" applyFont="1" applyBorder="1" applyAlignment="1">
      <alignment horizontal="center" vertical="top"/>
    </xf>
    <xf numFmtId="0" fontId="23" fillId="0" borderId="72" xfId="14" applyFont="1" applyBorder="1" applyAlignment="1">
      <alignment horizontal="center" vertical="top"/>
    </xf>
    <xf numFmtId="0" fontId="23" fillId="0" borderId="49" xfId="14" applyFont="1" applyBorder="1" applyAlignment="1">
      <alignment horizontal="center" vertical="top"/>
    </xf>
    <xf numFmtId="0" fontId="16" fillId="6" borderId="36" xfId="14" applyFont="1" applyFill="1" applyBorder="1"/>
    <xf numFmtId="0" fontId="16" fillId="6" borderId="24" xfId="14" applyFont="1" applyFill="1" applyBorder="1"/>
    <xf numFmtId="0" fontId="16" fillId="0" borderId="73" xfId="14" applyFont="1" applyBorder="1" applyAlignment="1">
      <alignment vertical="center" wrapText="1"/>
    </xf>
    <xf numFmtId="0" fontId="16" fillId="0" borderId="23" xfId="14" applyFont="1" applyBorder="1" applyAlignment="1">
      <alignment vertical="center" wrapText="1"/>
    </xf>
    <xf numFmtId="0" fontId="23" fillId="5" borderId="9" xfId="14" applyFont="1" applyFill="1" applyBorder="1" applyAlignment="1">
      <alignment vertical="top"/>
    </xf>
    <xf numFmtId="0" fontId="23" fillId="5" borderId="29" xfId="14" applyFont="1" applyFill="1" applyBorder="1" applyAlignment="1">
      <alignment vertical="top"/>
    </xf>
    <xf numFmtId="0" fontId="23" fillId="5" borderId="15" xfId="14" applyFont="1" applyFill="1" applyBorder="1" applyAlignment="1">
      <alignment vertical="top"/>
    </xf>
    <xf numFmtId="0" fontId="16" fillId="5" borderId="80" xfId="14" applyFont="1" applyFill="1" applyBorder="1" applyAlignment="1">
      <alignment vertical="center" wrapText="1"/>
    </xf>
    <xf numFmtId="0" fontId="16" fillId="5" borderId="27" xfId="14" applyFont="1" applyFill="1" applyBorder="1" applyAlignment="1">
      <alignment vertical="center" wrapText="1"/>
    </xf>
    <xf numFmtId="0" fontId="16" fillId="5" borderId="21" xfId="14" applyFont="1" applyFill="1" applyBorder="1" applyAlignment="1">
      <alignment vertical="center" wrapText="1"/>
    </xf>
    <xf numFmtId="0" fontId="16" fillId="5" borderId="32" xfId="14" applyFont="1" applyFill="1" applyBorder="1" applyAlignment="1">
      <alignment horizontal="center" vertical="center"/>
    </xf>
    <xf numFmtId="0" fontId="23" fillId="5" borderId="9" xfId="14" applyFont="1" applyFill="1" applyBorder="1" applyAlignment="1">
      <alignment horizontal="center" vertical="top"/>
    </xf>
    <xf numFmtId="0" fontId="23" fillId="5" borderId="29" xfId="14" applyFont="1" applyFill="1" applyBorder="1" applyAlignment="1">
      <alignment horizontal="center" vertical="top"/>
    </xf>
    <xf numFmtId="0" fontId="16" fillId="5" borderId="59" xfId="14" applyFont="1" applyFill="1" applyBorder="1" applyAlignment="1">
      <alignment vertical="center" wrapText="1"/>
    </xf>
    <xf numFmtId="0" fontId="16" fillId="5" borderId="71" xfId="14" applyFont="1" applyFill="1" applyBorder="1" applyAlignment="1">
      <alignment vertical="center" wrapText="1"/>
    </xf>
    <xf numFmtId="0" fontId="16" fillId="5" borderId="26" xfId="14" applyFont="1" applyFill="1" applyBorder="1" applyAlignment="1">
      <alignment vertical="center" wrapText="1"/>
    </xf>
    <xf numFmtId="0" fontId="13" fillId="5" borderId="37" xfId="14" applyFont="1" applyFill="1" applyBorder="1" applyAlignment="1">
      <alignment vertical="center" wrapText="1"/>
    </xf>
    <xf numFmtId="0" fontId="13" fillId="5" borderId="26" xfId="14" applyFont="1" applyFill="1" applyBorder="1" applyAlignment="1">
      <alignment vertical="center" wrapText="1"/>
    </xf>
    <xf numFmtId="0" fontId="16" fillId="5" borderId="38" xfId="14" applyFont="1" applyFill="1" applyBorder="1" applyAlignment="1">
      <alignment vertical="center" wrapText="1"/>
    </xf>
    <xf numFmtId="0" fontId="16" fillId="5" borderId="47" xfId="14" applyFont="1" applyFill="1" applyBorder="1" applyAlignment="1">
      <alignment vertical="center" wrapText="1"/>
    </xf>
    <xf numFmtId="0" fontId="23" fillId="5" borderId="17" xfId="14" applyFont="1" applyFill="1" applyBorder="1" applyAlignment="1">
      <alignment vertical="center" wrapText="1"/>
    </xf>
    <xf numFmtId="0" fontId="23" fillId="5" borderId="22" xfId="14" applyFont="1" applyFill="1" applyBorder="1" applyAlignment="1">
      <alignment vertical="center" wrapText="1"/>
    </xf>
    <xf numFmtId="0" fontId="13" fillId="5" borderId="17" xfId="14" applyFont="1" applyFill="1" applyBorder="1" applyAlignment="1">
      <alignment vertical="center" wrapText="1"/>
    </xf>
    <xf numFmtId="0" fontId="13" fillId="5" borderId="22" xfId="14" applyFont="1" applyFill="1" applyBorder="1" applyAlignment="1">
      <alignment vertical="center" wrapText="1"/>
    </xf>
    <xf numFmtId="0" fontId="13" fillId="6" borderId="52" xfId="15" applyFont="1" applyFill="1" applyBorder="1" applyAlignment="1">
      <alignment horizontal="center" vertical="center"/>
    </xf>
    <xf numFmtId="0" fontId="13" fillId="6" borderId="44" xfId="15" applyFont="1" applyFill="1" applyBorder="1" applyAlignment="1">
      <alignment horizontal="center" vertical="center"/>
    </xf>
    <xf numFmtId="0" fontId="16" fillId="0" borderId="3" xfId="14" applyFont="1" applyBorder="1" applyAlignment="1">
      <alignment horizontal="center" vertical="center" wrapText="1"/>
    </xf>
    <xf numFmtId="0" fontId="16" fillId="0" borderId="13" xfId="14" applyFont="1" applyBorder="1" applyAlignment="1">
      <alignment horizontal="center" vertical="center" wrapText="1"/>
    </xf>
    <xf numFmtId="0" fontId="16" fillId="0" borderId="77" xfId="14" applyFont="1" applyBorder="1" applyAlignment="1">
      <alignment vertical="center" wrapText="1"/>
    </xf>
    <xf numFmtId="0" fontId="13" fillId="6" borderId="76" xfId="15" applyFont="1" applyFill="1" applyBorder="1" applyAlignment="1">
      <alignment horizontal="center" vertical="center"/>
    </xf>
    <xf numFmtId="0" fontId="13" fillId="6" borderId="78" xfId="15" applyFont="1" applyFill="1" applyBorder="1" applyAlignment="1">
      <alignment horizontal="center" vertical="center"/>
    </xf>
    <xf numFmtId="0" fontId="23" fillId="0" borderId="29" xfId="14" applyFont="1" applyBorder="1" applyAlignment="1">
      <alignment vertical="top"/>
    </xf>
    <xf numFmtId="0" fontId="17" fillId="0" borderId="75" xfId="14" applyFont="1" applyBorder="1" applyAlignment="1">
      <alignment vertical="center" wrapText="1"/>
    </xf>
    <xf numFmtId="0" fontId="17" fillId="0" borderId="69" xfId="14" applyFont="1" applyBorder="1" applyAlignment="1">
      <alignment vertical="center" wrapText="1"/>
    </xf>
    <xf numFmtId="0" fontId="17" fillId="0" borderId="17" xfId="14" applyFont="1" applyBorder="1" applyAlignment="1">
      <alignment vertical="center" wrapText="1"/>
    </xf>
    <xf numFmtId="0" fontId="17" fillId="0" borderId="70" xfId="14" applyFont="1" applyBorder="1" applyAlignment="1">
      <alignment vertical="center" wrapText="1"/>
    </xf>
    <xf numFmtId="0" fontId="17" fillId="0" borderId="17" xfId="14" applyFont="1" applyBorder="1" applyAlignment="1">
      <alignment vertical="center"/>
    </xf>
    <xf numFmtId="0" fontId="17" fillId="0" borderId="70" xfId="14" applyFont="1" applyBorder="1" applyAlignment="1">
      <alignment vertical="center"/>
    </xf>
    <xf numFmtId="0" fontId="17" fillId="0" borderId="3" xfId="14" applyFont="1" applyBorder="1" applyAlignment="1">
      <alignment horizontal="center" vertical="center"/>
    </xf>
    <xf numFmtId="0" fontId="17" fillId="0" borderId="4" xfId="14" applyFont="1" applyBorder="1" applyAlignment="1">
      <alignment horizontal="center" vertical="center"/>
    </xf>
    <xf numFmtId="0" fontId="17" fillId="0" borderId="13" xfId="14" applyFont="1" applyBorder="1" applyAlignment="1">
      <alignment horizontal="center" vertical="center"/>
    </xf>
    <xf numFmtId="0" fontId="17" fillId="0" borderId="38" xfId="14" applyFont="1" applyBorder="1" applyAlignment="1">
      <alignment vertical="center" wrapText="1"/>
    </xf>
    <xf numFmtId="0" fontId="17" fillId="0" borderId="77" xfId="14" applyFont="1" applyBorder="1" applyAlignment="1">
      <alignment vertical="center" wrapText="1"/>
    </xf>
    <xf numFmtId="3" fontId="17" fillId="6" borderId="1" xfId="1" applyNumberFormat="1" applyFont="1" applyFill="1" applyBorder="1" applyAlignment="1">
      <alignment horizontal="center" vertical="center" wrapText="1"/>
    </xf>
    <xf numFmtId="3" fontId="17" fillId="6" borderId="7" xfId="1" applyNumberFormat="1" applyFont="1" applyFill="1" applyBorder="1" applyAlignment="1">
      <alignment horizontal="center" vertical="center" wrapText="1"/>
    </xf>
    <xf numFmtId="3" fontId="17" fillId="6" borderId="45" xfId="1" applyNumberFormat="1" applyFont="1" applyFill="1" applyBorder="1" applyAlignment="1">
      <alignment horizontal="center" vertical="center" wrapText="1"/>
    </xf>
    <xf numFmtId="3" fontId="27" fillId="4" borderId="1" xfId="1" applyNumberFormat="1" applyFont="1" applyFill="1" applyBorder="1" applyAlignment="1">
      <alignment horizontal="center" vertical="center" wrapText="1"/>
    </xf>
    <xf numFmtId="3" fontId="27" fillId="4" borderId="7" xfId="1" applyNumberFormat="1" applyFont="1" applyFill="1" applyBorder="1" applyAlignment="1">
      <alignment horizontal="center" vertical="center" wrapText="1"/>
    </xf>
    <xf numFmtId="3" fontId="27" fillId="4" borderId="45" xfId="1" applyNumberFormat="1" applyFont="1" applyFill="1" applyBorder="1" applyAlignment="1">
      <alignment horizontal="center" vertical="center" wrapText="1"/>
    </xf>
    <xf numFmtId="3" fontId="27" fillId="4" borderId="63" xfId="1" applyNumberFormat="1" applyFont="1" applyFill="1" applyBorder="1" applyAlignment="1">
      <alignment horizontal="center" vertical="center" wrapText="1"/>
    </xf>
    <xf numFmtId="0" fontId="17" fillId="6" borderId="40" xfId="0" applyFont="1" applyFill="1" applyBorder="1" applyAlignment="1">
      <alignment horizontal="center" vertical="center"/>
    </xf>
    <xf numFmtId="0" fontId="17" fillId="6" borderId="28" xfId="0" applyFont="1" applyFill="1" applyBorder="1" applyAlignment="1">
      <alignment horizontal="center" vertical="center"/>
    </xf>
    <xf numFmtId="0" fontId="17" fillId="6" borderId="61" xfId="0" applyFont="1" applyFill="1" applyBorder="1" applyAlignment="1">
      <alignment horizontal="center" vertical="center"/>
    </xf>
    <xf numFmtId="3" fontId="13" fillId="2" borderId="47" xfId="1" applyNumberFormat="1" applyFont="1" applyFill="1" applyBorder="1" applyAlignment="1">
      <alignment horizontal="center" vertical="center" wrapText="1"/>
    </xf>
    <xf numFmtId="3" fontId="13" fillId="2" borderId="70" xfId="1" applyNumberFormat="1" applyFont="1" applyFill="1" applyBorder="1" applyAlignment="1">
      <alignment horizontal="center" vertical="center" wrapText="1"/>
    </xf>
    <xf numFmtId="4" fontId="17" fillId="3" borderId="11" xfId="15" applyNumberFormat="1" applyFont="1" applyFill="1" applyBorder="1" applyAlignment="1">
      <alignment horizontal="center" vertical="center" wrapText="1"/>
    </xf>
    <xf numFmtId="4" fontId="17" fillId="3" borderId="61" xfId="15" applyNumberFormat="1" applyFont="1" applyFill="1" applyBorder="1" applyAlignment="1">
      <alignment horizontal="center" vertical="center" wrapText="1"/>
    </xf>
    <xf numFmtId="0" fontId="16" fillId="6" borderId="40" xfId="0" applyFont="1" applyFill="1" applyBorder="1" applyAlignment="1">
      <alignment horizontal="center" vertical="center"/>
    </xf>
    <xf numFmtId="0" fontId="16" fillId="6" borderId="61" xfId="0" applyFont="1" applyFill="1" applyBorder="1" applyAlignment="1">
      <alignment horizontal="center" vertical="center"/>
    </xf>
    <xf numFmtId="0" fontId="16" fillId="3" borderId="56" xfId="0" applyFont="1" applyFill="1" applyBorder="1" applyAlignment="1">
      <alignment horizontal="center" vertical="center"/>
    </xf>
    <xf numFmtId="0" fontId="16" fillId="3" borderId="65" xfId="0" applyFont="1" applyFill="1" applyBorder="1" applyAlignment="1">
      <alignment horizontal="center" vertical="center"/>
    </xf>
    <xf numFmtId="0" fontId="16" fillId="3" borderId="24" xfId="0" applyFont="1" applyFill="1" applyBorder="1" applyAlignment="1">
      <alignment horizontal="center" vertical="center"/>
    </xf>
    <xf numFmtId="0" fontId="11" fillId="0" borderId="0" xfId="0" applyFont="1" applyAlignment="1">
      <alignment horizontal="right"/>
    </xf>
  </cellXfs>
  <cellStyles count="23">
    <cellStyle name="Čárka" xfId="22" builtinId="3"/>
    <cellStyle name="Čárka 2" xfId="8" xr:uid="{00000000-0005-0000-0000-000000000000}"/>
    <cellStyle name="Čárka 2 2" xfId="9" xr:uid="{00000000-0005-0000-0000-000001000000}"/>
    <cellStyle name="Čárka 2 2 2" xfId="10" xr:uid="{00000000-0005-0000-0000-000002000000}"/>
    <cellStyle name="Čárka 2 3" xfId="11" xr:uid="{00000000-0005-0000-0000-000003000000}"/>
    <cellStyle name="Čárka 3" xfId="12" xr:uid="{00000000-0005-0000-0000-000004000000}"/>
    <cellStyle name="Čárka 3 2" xfId="13" xr:uid="{00000000-0005-0000-0000-000005000000}"/>
    <cellStyle name="Normální" xfId="0" builtinId="0"/>
    <cellStyle name="Normální 2" xfId="3" xr:uid="{00000000-0005-0000-0000-000007000000}"/>
    <cellStyle name="Normální 3" xfId="4" xr:uid="{00000000-0005-0000-0000-000008000000}"/>
    <cellStyle name="Normální 4" xfId="5" xr:uid="{00000000-0005-0000-0000-000009000000}"/>
    <cellStyle name="Normální 5" xfId="6" xr:uid="{00000000-0005-0000-0000-00000A000000}"/>
    <cellStyle name="Normální 6" xfId="7" xr:uid="{00000000-0005-0000-0000-00000B000000}"/>
    <cellStyle name="Normální 7" xfId="16" xr:uid="{00000000-0005-0000-0000-00000C000000}"/>
    <cellStyle name="Normální 7 2" xfId="17" xr:uid="{00000000-0005-0000-0000-00000D000000}"/>
    <cellStyle name="normální_1.-7" xfId="20" xr:uid="{00000000-0005-0000-0000-00000E000000}"/>
    <cellStyle name="normální_1.-7 2" xfId="15" xr:uid="{00000000-0005-0000-0000-00000F000000}"/>
    <cellStyle name="normální_10" xfId="19" xr:uid="{00000000-0005-0000-0000-000010000000}"/>
    <cellStyle name="normální_čerp.-celek 1.-9.09" xfId="1" xr:uid="{00000000-0005-0000-0000-000011000000}"/>
    <cellStyle name="normální_čerp.-celek r.2009 2 2" xfId="18" xr:uid="{00000000-0005-0000-0000-000012000000}"/>
    <cellStyle name="normální_Fondy" xfId="2" xr:uid="{00000000-0005-0000-0000-000013000000}"/>
    <cellStyle name="normální_t 01" xfId="14" xr:uid="{00000000-0005-0000-0000-000014000000}"/>
    <cellStyle name="normální_t 01 2" xfId="21" xr:uid="{00000000-0005-0000-0000-000015000000}"/>
  </cellStyles>
  <dxfs count="0"/>
  <tableStyles count="0" defaultTableStyle="TableStyleMedium2" defaultPivotStyle="PivotStyleLight16"/>
  <colors>
    <mruColors>
      <color rgb="FFFFFFCC"/>
      <color rgb="FFCCFFCC"/>
      <color rgb="FF008A3E"/>
      <color rgb="FFCC6600"/>
      <color rgb="FFFF9933"/>
      <color rgb="FF00EE00"/>
      <color rgb="FF00C400"/>
      <color rgb="FF0085B4"/>
      <color rgb="FF009BD2"/>
      <color rgb="FF0060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409575</xdr:colOff>
      <xdr:row>3</xdr:row>
      <xdr:rowOff>76200</xdr:rowOff>
    </xdr:to>
    <xdr:pic>
      <xdr:nvPicPr>
        <xdr:cNvPr id="4" name="Obrázek 3" descr="stredoceskykrajznak">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847975" cy="561975"/>
        </a:xfrm>
        <a:prstGeom prst="rect">
          <a:avLst/>
        </a:prstGeom>
        <a:noFill/>
        <a:ln>
          <a:noFill/>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8"/>
  <sheetViews>
    <sheetView tabSelected="1" zoomScaleNormal="100" workbookViewId="0">
      <selection activeCell="A6" sqref="A6"/>
    </sheetView>
  </sheetViews>
  <sheetFormatPr defaultColWidth="9.140625" defaultRowHeight="12.75" x14ac:dyDescent="0.2"/>
  <cols>
    <col min="1" max="10" width="8.7109375" style="29" customWidth="1"/>
    <col min="11" max="16384" width="9.140625" style="29"/>
  </cols>
  <sheetData>
    <row r="1" spans="15:15" x14ac:dyDescent="0.2">
      <c r="O1" s="1459" t="s">
        <v>605</v>
      </c>
    </row>
    <row r="18" spans="1:15" ht="31.5" x14ac:dyDescent="0.5">
      <c r="A18" s="1195" t="s">
        <v>350</v>
      </c>
      <c r="B18" s="1195"/>
      <c r="C18" s="1195"/>
      <c r="D18" s="1195"/>
      <c r="E18" s="1195"/>
      <c r="F18" s="1195"/>
      <c r="G18" s="1195"/>
      <c r="H18" s="1195"/>
      <c r="I18" s="1195"/>
      <c r="J18" s="1195"/>
      <c r="K18" s="1195"/>
      <c r="L18" s="1195"/>
      <c r="M18" s="1195"/>
      <c r="N18" s="1195"/>
      <c r="O18" s="1195"/>
    </row>
    <row r="19" spans="1:15" ht="28.5" x14ac:dyDescent="0.45">
      <c r="A19" s="165"/>
    </row>
    <row r="20" spans="1:15" ht="31.5" x14ac:dyDescent="0.5">
      <c r="A20" s="1195" t="s">
        <v>505</v>
      </c>
      <c r="B20" s="1195"/>
      <c r="C20" s="1195"/>
      <c r="D20" s="1195"/>
      <c r="E20" s="1195"/>
      <c r="F20" s="1195"/>
      <c r="G20" s="1195"/>
      <c r="H20" s="1195"/>
      <c r="I20" s="1195"/>
      <c r="J20" s="1195"/>
      <c r="K20" s="1195"/>
      <c r="L20" s="1195"/>
      <c r="M20" s="1195"/>
      <c r="N20" s="1195"/>
      <c r="O20" s="1195"/>
    </row>
    <row r="21" spans="1:15" ht="28.5" x14ac:dyDescent="0.45">
      <c r="A21" s="165"/>
    </row>
    <row r="28" spans="1:15" ht="23.25" x14ac:dyDescent="0.35">
      <c r="A28" s="1196" t="s">
        <v>247</v>
      </c>
      <c r="B28" s="1196"/>
      <c r="C28" s="1196"/>
      <c r="D28" s="1196"/>
      <c r="E28" s="1196"/>
      <c r="F28" s="1196"/>
      <c r="G28" s="1196"/>
      <c r="H28" s="1196"/>
      <c r="I28" s="1196"/>
      <c r="J28" s="1196"/>
      <c r="K28" s="1196"/>
      <c r="L28" s="1196"/>
      <c r="M28" s="1196"/>
      <c r="N28" s="1196"/>
      <c r="O28" s="1196"/>
    </row>
  </sheetData>
  <mergeCells count="3">
    <mergeCell ref="A18:O18"/>
    <mergeCell ref="A20:O20"/>
    <mergeCell ref="A28:O28"/>
  </mergeCells>
  <pageMargins left="0.70866141732283472" right="0.70866141732283472" top="0.78740157480314965" bottom="0.78740157480314965"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446"/>
  <sheetViews>
    <sheetView workbookViewId="0"/>
  </sheetViews>
  <sheetFormatPr defaultColWidth="9.140625" defaultRowHeight="12.75" x14ac:dyDescent="0.2"/>
  <cols>
    <col min="1" max="1" width="42.42578125" style="57" customWidth="1"/>
    <col min="2" max="7" width="16.7109375" style="683" customWidth="1"/>
    <col min="8" max="8" width="10.7109375" style="685" customWidth="1"/>
    <col min="9" max="9" width="9.140625" style="594"/>
    <col min="10" max="10" width="13.140625" style="594" bestFit="1" customWidth="1"/>
    <col min="11" max="11" width="10.42578125" style="57" bestFit="1" customWidth="1"/>
    <col min="12" max="16384" width="9.140625" style="57"/>
  </cols>
  <sheetData>
    <row r="1" spans="1:11" ht="15" customHeight="1" x14ac:dyDescent="0.2">
      <c r="H1" s="684"/>
    </row>
    <row r="2" spans="1:11" ht="24" customHeight="1" x14ac:dyDescent="0.2">
      <c r="A2" s="384" t="s">
        <v>506</v>
      </c>
    </row>
    <row r="3" spans="1:11" ht="15" customHeight="1" x14ac:dyDescent="0.2">
      <c r="A3" s="686"/>
    </row>
    <row r="4" spans="1:11" ht="20.100000000000001" customHeight="1" x14ac:dyDescent="0.2">
      <c r="A4" s="686" t="s">
        <v>47</v>
      </c>
    </row>
    <row r="5" spans="1:11" ht="15" customHeight="1" x14ac:dyDescent="0.2">
      <c r="A5" s="687"/>
    </row>
    <row r="6" spans="1:11" ht="15" customHeight="1" thickBot="1" x14ac:dyDescent="0.25">
      <c r="A6" s="688"/>
      <c r="H6" s="689" t="s">
        <v>0</v>
      </c>
    </row>
    <row r="7" spans="1:11" ht="20.100000000000001" customHeight="1" x14ac:dyDescent="0.2">
      <c r="A7" s="1200" t="s">
        <v>1</v>
      </c>
      <c r="B7" s="1198" t="s">
        <v>365</v>
      </c>
      <c r="C7" s="1199"/>
      <c r="D7" s="1198" t="s">
        <v>440</v>
      </c>
      <c r="E7" s="1202"/>
      <c r="F7" s="1199"/>
      <c r="G7" s="1203" t="s">
        <v>507</v>
      </c>
      <c r="H7" s="1205" t="s">
        <v>509</v>
      </c>
    </row>
    <row r="8" spans="1:11" ht="35.1" customHeight="1" thickBot="1" x14ac:dyDescent="0.25">
      <c r="A8" s="1201"/>
      <c r="B8" s="264" t="s">
        <v>109</v>
      </c>
      <c r="C8" s="942" t="s">
        <v>594</v>
      </c>
      <c r="D8" s="264" t="s">
        <v>109</v>
      </c>
      <c r="E8" s="265" t="s">
        <v>589</v>
      </c>
      <c r="F8" s="266" t="s">
        <v>595</v>
      </c>
      <c r="G8" s="1204"/>
      <c r="H8" s="1206"/>
    </row>
    <row r="9" spans="1:11" ht="20.25" customHeight="1" x14ac:dyDescent="0.2">
      <c r="A9" s="278" t="s">
        <v>46</v>
      </c>
      <c r="B9" s="281">
        <f>SUM('Sumář příjmů a výdajů'!B10:B14)</f>
        <v>13564000</v>
      </c>
      <c r="C9" s="282">
        <f>SUM('Sumář příjmů a výdajů'!C10:C14)</f>
        <v>15142318.509999998</v>
      </c>
      <c r="D9" s="281">
        <f>SUM('Sumář příjmů a výdajů'!D10:D14)</f>
        <v>15071000</v>
      </c>
      <c r="E9" s="283">
        <f>SUM('Sumář příjmů a výdajů'!E10:E14)</f>
        <v>15145553.08</v>
      </c>
      <c r="F9" s="284">
        <f>SUM('Sumář příjmů a výdajů'!F10:F14)</f>
        <v>11209248.809999999</v>
      </c>
      <c r="G9" s="285">
        <f>'Sumář příjmů a výdajů'!G10+'Sumář příjmů a výdajů'!G11+'Sumář příjmů a výdajů'!G12+'Sumář příjmů a výdajů'!G13</f>
        <v>15571000</v>
      </c>
      <c r="H9" s="279">
        <f>G9/D9*100</f>
        <v>103.31762988521001</v>
      </c>
    </row>
    <row r="10" spans="1:11" ht="20.25" customHeight="1" x14ac:dyDescent="0.2">
      <c r="A10" s="280" t="s">
        <v>45</v>
      </c>
      <c r="B10" s="281">
        <f>SUM('Sumář příjmů a výdajů'!B15:B21)</f>
        <v>1735854</v>
      </c>
      <c r="C10" s="282">
        <f>SUM('Sumář příjmů a výdajů'!C15:C21)</f>
        <v>1536652.3</v>
      </c>
      <c r="D10" s="281">
        <f>SUM('Sumář příjmů a výdajů'!D15:D21)</f>
        <v>84508</v>
      </c>
      <c r="E10" s="283">
        <f>SUM('Sumář příjmů a výdajů'!E15:E21)</f>
        <v>1034572.27</v>
      </c>
      <c r="F10" s="284">
        <f>SUM('Sumář příjmů a výdajů'!F15:F21)</f>
        <v>1605532.1600000001</v>
      </c>
      <c r="G10" s="285">
        <f>SUM('Sumář příjmů a výdajů'!G15:G21)</f>
        <v>666400</v>
      </c>
      <c r="H10" s="286">
        <f t="shared" ref="H10:H30" si="0">G10/D10*100</f>
        <v>788.56439627017551</v>
      </c>
      <c r="K10" s="594"/>
    </row>
    <row r="11" spans="1:11" ht="20.25" customHeight="1" x14ac:dyDescent="0.2">
      <c r="A11" s="280" t="s">
        <v>44</v>
      </c>
      <c r="B11" s="281">
        <f>+'Sumář příjmů a výdajů'!B22</f>
        <v>16000</v>
      </c>
      <c r="C11" s="282">
        <f>+'Sumář příjmů a výdajů'!C22</f>
        <v>25606.91</v>
      </c>
      <c r="D11" s="281">
        <f>+'Sumář příjmů a výdajů'!D22</f>
        <v>17000</v>
      </c>
      <c r="E11" s="283">
        <f>+'Sumář příjmů a výdajů'!E22</f>
        <v>17000</v>
      </c>
      <c r="F11" s="284">
        <f>+'Sumář příjmů a výdajů'!F22</f>
        <v>17526.46</v>
      </c>
      <c r="G11" s="285">
        <f>+'Sumář příjmů a výdajů'!G22</f>
        <v>9000</v>
      </c>
      <c r="H11" s="286">
        <f t="shared" si="0"/>
        <v>52.941176470588239</v>
      </c>
    </row>
    <row r="12" spans="1:11" ht="20.25" customHeight="1" x14ac:dyDescent="0.2">
      <c r="A12" s="280" t="s">
        <v>92</v>
      </c>
      <c r="B12" s="281">
        <f>SUM('Sumář příjmů a výdajů'!B23:B34)</f>
        <v>26703661.300000001</v>
      </c>
      <c r="C12" s="282">
        <f>SUM('Sumář příjmů a výdajů'!C23:C34)</f>
        <v>34423621.25</v>
      </c>
      <c r="D12" s="281">
        <f>SUM('Sumář příjmů a výdajů'!D23:D34)</f>
        <v>32629721.800000001</v>
      </c>
      <c r="E12" s="283">
        <f>SUM('Sumář příjmů a výdajů'!E23:E34)</f>
        <v>34055135.289999992</v>
      </c>
      <c r="F12" s="284">
        <f>SUM('Sumář příjmů a výdajů'!F23:F34)</f>
        <v>27535454.900000002</v>
      </c>
      <c r="G12" s="285">
        <f>SUM('Sumář příjmů a výdajů'!G23:G34)</f>
        <v>34647677.700000003</v>
      </c>
      <c r="H12" s="286">
        <f t="shared" si="0"/>
        <v>106.18441037397997</v>
      </c>
    </row>
    <row r="13" spans="1:11" s="687" customFormat="1" ht="30.2" customHeight="1" x14ac:dyDescent="0.2">
      <c r="A13" s="287" t="s">
        <v>9</v>
      </c>
      <c r="B13" s="288">
        <f>SUM(B9:B12)</f>
        <v>42019515.299999997</v>
      </c>
      <c r="C13" s="289">
        <f t="shared" ref="C13:G13" si="1">SUM(C9:C12)</f>
        <v>51128198.969999999</v>
      </c>
      <c r="D13" s="288">
        <f t="shared" ref="D13" si="2">SUM(D9:D12)</f>
        <v>47802229.799999997</v>
      </c>
      <c r="E13" s="290">
        <f t="shared" si="1"/>
        <v>50252260.639999993</v>
      </c>
      <c r="F13" s="1002">
        <f t="shared" si="1"/>
        <v>40367762.329999998</v>
      </c>
      <c r="G13" s="292">
        <f t="shared" si="1"/>
        <v>50894077.700000003</v>
      </c>
      <c r="H13" s="293">
        <f t="shared" si="0"/>
        <v>106.46799932332864</v>
      </c>
      <c r="I13" s="594"/>
      <c r="J13" s="594"/>
    </row>
    <row r="14" spans="1:11" s="687" customFormat="1" ht="6" customHeight="1" x14ac:dyDescent="0.2">
      <c r="A14" s="287"/>
      <c r="B14" s="288"/>
      <c r="C14" s="289"/>
      <c r="D14" s="732"/>
      <c r="E14" s="290"/>
      <c r="F14" s="291"/>
      <c r="G14" s="292"/>
      <c r="H14" s="293"/>
      <c r="I14" s="594"/>
      <c r="J14" s="594"/>
    </row>
    <row r="15" spans="1:11" s="687" customFormat="1" ht="20.25" customHeight="1" x14ac:dyDescent="0.2">
      <c r="A15" s="280" t="s">
        <v>76</v>
      </c>
      <c r="B15" s="281">
        <f>+'Sumář příjmů a výdajů'!B76-Bilance!B16</f>
        <v>39317649.299999997</v>
      </c>
      <c r="C15" s="282">
        <f>+'Sumář příjmů a výdajů'!C76-Bilance!C16</f>
        <v>42835191.230000004</v>
      </c>
      <c r="D15" s="281">
        <f>+'Sumář příjmů a výdajů'!D76-Bilance!D16</f>
        <v>45281930.799999997</v>
      </c>
      <c r="E15" s="283">
        <f>+'Sumář příjmů a výdajů'!E76-Bilance!E16</f>
        <v>47831144.520999998</v>
      </c>
      <c r="F15" s="284">
        <f>+'Sumář příjmů a výdajů'!F76-Bilance!F16</f>
        <v>32101951.108000003</v>
      </c>
      <c r="G15" s="285">
        <f>+'Sumář příjmů a výdajů'!G76-Bilance!G16</f>
        <v>48338952.700000003</v>
      </c>
      <c r="H15" s="286">
        <f t="shared" si="0"/>
        <v>106.75108557870946</v>
      </c>
      <c r="I15" s="594"/>
      <c r="J15" s="594"/>
    </row>
    <row r="16" spans="1:11" s="687" customFormat="1" ht="20.25" customHeight="1" x14ac:dyDescent="0.2">
      <c r="A16" s="280" t="s">
        <v>77</v>
      </c>
      <c r="B16" s="281">
        <f>+'Kapitálové výdaje '!C37</f>
        <v>5748911</v>
      </c>
      <c r="C16" s="282">
        <f>+'Kapitálové výdaje '!D37</f>
        <v>6951321.6100000003</v>
      </c>
      <c r="D16" s="281">
        <f>+'Kapitálové výdaje '!E37</f>
        <v>4221548</v>
      </c>
      <c r="E16" s="283">
        <f>+'Kapitálové výdaje '!F37</f>
        <v>9644789.2699999996</v>
      </c>
      <c r="F16" s="284">
        <f>+'Kapitálové výdaje '!G37</f>
        <v>4072053.85</v>
      </c>
      <c r="G16" s="285">
        <f>+'Kapitálové výdaje '!H37</f>
        <v>3987474</v>
      </c>
      <c r="H16" s="286">
        <f t="shared" si="0"/>
        <v>94.455256697306297</v>
      </c>
      <c r="I16" s="594"/>
      <c r="J16" s="594"/>
    </row>
    <row r="17" spans="1:10" s="687" customFormat="1" ht="30.2" customHeight="1" x14ac:dyDescent="0.2">
      <c r="A17" s="295" t="s">
        <v>43</v>
      </c>
      <c r="B17" s="288">
        <f>SUM(B15:B16)</f>
        <v>45066560.299999997</v>
      </c>
      <c r="C17" s="289">
        <f t="shared" ref="C17:G17" si="3">SUM(C15:C16)</f>
        <v>49786512.840000004</v>
      </c>
      <c r="D17" s="288">
        <f t="shared" ref="D17" si="4">SUM(D15:D16)</f>
        <v>49503478.799999997</v>
      </c>
      <c r="E17" s="290">
        <f t="shared" si="3"/>
        <v>57475933.790999994</v>
      </c>
      <c r="F17" s="291">
        <f t="shared" si="3"/>
        <v>36174004.958000004</v>
      </c>
      <c r="G17" s="292">
        <f t="shared" si="3"/>
        <v>52326426.700000003</v>
      </c>
      <c r="H17" s="293">
        <f t="shared" si="0"/>
        <v>105.70252428401052</v>
      </c>
      <c r="I17" s="594"/>
      <c r="J17" s="594"/>
    </row>
    <row r="18" spans="1:10" s="687" customFormat="1" ht="6" customHeight="1" x14ac:dyDescent="0.2">
      <c r="A18" s="295"/>
      <c r="B18" s="288"/>
      <c r="C18" s="289"/>
      <c r="D18" s="732"/>
      <c r="E18" s="290"/>
      <c r="F18" s="291"/>
      <c r="G18" s="292"/>
      <c r="H18" s="293"/>
      <c r="I18" s="594"/>
      <c r="J18" s="594"/>
    </row>
    <row r="19" spans="1:10" s="687" customFormat="1" ht="30.2" customHeight="1" x14ac:dyDescent="0.2">
      <c r="A19" s="295" t="s">
        <v>42</v>
      </c>
      <c r="B19" s="288">
        <f t="shared" ref="B19:G19" si="5">B13-B17</f>
        <v>-3047045</v>
      </c>
      <c r="C19" s="289">
        <f t="shared" si="5"/>
        <v>1341686.1299999952</v>
      </c>
      <c r="D19" s="288">
        <f t="shared" ref="D19" si="6">D13-D17</f>
        <v>-1701249</v>
      </c>
      <c r="E19" s="290">
        <f t="shared" si="5"/>
        <v>-7223673.1510000005</v>
      </c>
      <c r="F19" s="291">
        <f t="shared" si="5"/>
        <v>4193757.3719999939</v>
      </c>
      <c r="G19" s="292">
        <f t="shared" si="5"/>
        <v>-1432349</v>
      </c>
      <c r="H19" s="293">
        <f t="shared" si="0"/>
        <v>84.193965727533126</v>
      </c>
      <c r="I19" s="594"/>
      <c r="J19" s="594"/>
    </row>
    <row r="20" spans="1:10" s="687" customFormat="1" ht="6" customHeight="1" x14ac:dyDescent="0.2">
      <c r="A20" s="295"/>
      <c r="B20" s="288"/>
      <c r="C20" s="289"/>
      <c r="D20" s="732"/>
      <c r="E20" s="290"/>
      <c r="F20" s="291"/>
      <c r="G20" s="292"/>
      <c r="H20" s="293"/>
      <c r="I20" s="594"/>
      <c r="J20" s="594"/>
    </row>
    <row r="21" spans="1:10" ht="20.25" customHeight="1" x14ac:dyDescent="0.2">
      <c r="A21" s="296" t="s">
        <v>67</v>
      </c>
      <c r="B21" s="281">
        <f>+'Sumář příjmů a výdajů'!B38+'Sumář příjmů a výdajů'!B39+'Sumář příjmů a výdajů'!B40</f>
        <v>10000</v>
      </c>
      <c r="C21" s="282">
        <f>+'Sumář příjmů a výdajů'!C38+'Sumář příjmů a výdajů'!C39+'Sumář příjmů a výdajů'!C40</f>
        <v>-1660435.43</v>
      </c>
      <c r="D21" s="281">
        <f>+'Sumář příjmů a výdajů'!D38+'Sumář příjmů a výdajů'!D39+'Sumář příjmů a výdajů'!D40</f>
        <v>29562</v>
      </c>
      <c r="E21" s="283">
        <f>+'Sumář příjmů a výdajů'!E38+'Sumář příjmů a výdajů'!E39+'Sumář příjmů a výdajů'!E40</f>
        <v>5551986.1500000004</v>
      </c>
      <c r="F21" s="294">
        <f>+'Sumář příjmů a výdajů'!F38+'Sumář příjmů a výdajů'!F39+'Sumář příjmů a výdajů'!F40</f>
        <v>-2419860.59</v>
      </c>
      <c r="G21" s="285">
        <f>+'Sumář příjmů a výdajů'!G38+'Sumář příjmů a výdajů'!G39+'Sumář příjmů a výdajů'!G40</f>
        <v>10000</v>
      </c>
      <c r="H21" s="761">
        <f t="shared" si="0"/>
        <v>33.82721060821325</v>
      </c>
    </row>
    <row r="22" spans="1:10" ht="30" customHeight="1" x14ac:dyDescent="0.2">
      <c r="A22" s="296" t="s">
        <v>335</v>
      </c>
      <c r="B22" s="281">
        <f>+'Sumář příjmů a výdajů'!B41</f>
        <v>1579703</v>
      </c>
      <c r="C22" s="282">
        <f>+'Sumář příjmů a výdajů'!C41</f>
        <v>635000</v>
      </c>
      <c r="D22" s="281">
        <f>+'Sumář příjmů a výdajů'!D41</f>
        <v>1006026</v>
      </c>
      <c r="E22" s="283">
        <f>+'Sumář příjmů a výdajů'!E41</f>
        <v>1006026</v>
      </c>
      <c r="F22" s="294">
        <f>+'Sumář příjmů a výdajů'!F41</f>
        <v>700000</v>
      </c>
      <c r="G22" s="285">
        <f>+'Sumář příjmů a výdajů'!G41</f>
        <v>308428</v>
      </c>
      <c r="H22" s="761">
        <f t="shared" si="0"/>
        <v>30.658054563202143</v>
      </c>
    </row>
    <row r="23" spans="1:10" ht="30" customHeight="1" x14ac:dyDescent="0.2">
      <c r="A23" s="296" t="s">
        <v>306</v>
      </c>
      <c r="B23" s="281">
        <f>+'Sumář příjmů a výdajů'!B43</f>
        <v>1389497</v>
      </c>
      <c r="C23" s="282">
        <f>+'Sumář příjmů a výdajů'!C43</f>
        <v>0</v>
      </c>
      <c r="D23" s="281">
        <f>+'Sumář příjmů a výdajů'!D43</f>
        <v>575227</v>
      </c>
      <c r="E23" s="283">
        <f>+'Sumář příjmů a výdajů'!E43</f>
        <v>575227</v>
      </c>
      <c r="F23" s="294">
        <f>+'Sumář příjmů a výdajů'!F43</f>
        <v>0</v>
      </c>
      <c r="G23" s="285">
        <f>+'Sumář příjmů a výdajů'!G43</f>
        <v>944700</v>
      </c>
      <c r="H23" s="761">
        <f t="shared" si="0"/>
        <v>164.23081670366656</v>
      </c>
    </row>
    <row r="24" spans="1:10" ht="30" customHeight="1" x14ac:dyDescent="0.2">
      <c r="A24" s="296" t="s">
        <v>307</v>
      </c>
      <c r="B24" s="281">
        <f>+'Sumář příjmů a výdajů'!B42</f>
        <v>385472</v>
      </c>
      <c r="C24" s="282">
        <f>+'Sumář příjmů a výdajů'!C42</f>
        <v>0</v>
      </c>
      <c r="D24" s="281">
        <f>+'Sumář příjmů a výdajů'!D42</f>
        <v>377022</v>
      </c>
      <c r="E24" s="283">
        <f>+'Sumář příjmů a výdajů'!E42</f>
        <v>377022</v>
      </c>
      <c r="F24" s="294">
        <f>+'Sumář příjmů a výdajů'!F42</f>
        <v>0</v>
      </c>
      <c r="G24" s="285">
        <f>+'Sumář příjmů a výdajů'!G42</f>
        <v>444000</v>
      </c>
      <c r="H24" s="761">
        <f t="shared" si="0"/>
        <v>117.76501106036253</v>
      </c>
    </row>
    <row r="25" spans="1:10" ht="30" customHeight="1" x14ac:dyDescent="0.2">
      <c r="A25" s="296" t="s">
        <v>318</v>
      </c>
      <c r="B25" s="281">
        <f>-'Sumář příjmů a výdajů'!B79</f>
        <v>-239487</v>
      </c>
      <c r="C25" s="282">
        <f>-'Sumář příjmů a výdajů'!C79</f>
        <v>-239486.82</v>
      </c>
      <c r="D25" s="281">
        <f>-'Sumář příjmů a výdajů'!D79</f>
        <v>-239487</v>
      </c>
      <c r="E25" s="283">
        <f>-'Sumář příjmů a výdajů'!E79</f>
        <v>-239487</v>
      </c>
      <c r="F25" s="294">
        <f>-'Sumář příjmů a výdajů'!F79</f>
        <v>-179615.11</v>
      </c>
      <c r="G25" s="285">
        <f>-'Sumář příjmů a výdajů'!G79</f>
        <v>-239487</v>
      </c>
      <c r="H25" s="761">
        <f t="shared" si="0"/>
        <v>100</v>
      </c>
    </row>
    <row r="26" spans="1:10" ht="30" customHeight="1" x14ac:dyDescent="0.2">
      <c r="A26" s="296" t="s">
        <v>308</v>
      </c>
      <c r="B26" s="281">
        <f>-'Sumář příjmů a výdajů'!B80</f>
        <v>-78140</v>
      </c>
      <c r="C26" s="282">
        <f>-'Sumář příjmů a výdajů'!C80</f>
        <v>-78140</v>
      </c>
      <c r="D26" s="281">
        <f>-'Sumář příjmů a výdajů'!D80</f>
        <v>-39070</v>
      </c>
      <c r="E26" s="283">
        <f>-'Sumář příjmů a výdajů'!E80</f>
        <v>-39070</v>
      </c>
      <c r="F26" s="294">
        <f>-'Sumář příjmů a výdajů'!F80</f>
        <v>-39070</v>
      </c>
      <c r="G26" s="285">
        <f>-'Sumář příjmů a výdajů'!G80</f>
        <v>0</v>
      </c>
      <c r="H26" s="761">
        <f t="shared" si="0"/>
        <v>0</v>
      </c>
    </row>
    <row r="27" spans="1:10" ht="30" customHeight="1" x14ac:dyDescent="0.2">
      <c r="A27" s="296" t="s">
        <v>489</v>
      </c>
      <c r="B27" s="281">
        <v>0</v>
      </c>
      <c r="C27" s="282">
        <v>0</v>
      </c>
      <c r="D27" s="281">
        <f>-'Sumář příjmů a výdajů'!D81</f>
        <v>-8031</v>
      </c>
      <c r="E27" s="283">
        <f>-'Sumář příjmů a výdajů'!E81</f>
        <v>-8031</v>
      </c>
      <c r="F27" s="294">
        <f>+'Sumář příjmů a výdajů'!F81</f>
        <v>0</v>
      </c>
      <c r="G27" s="285">
        <f>-'Sumář příjmů a výdajů'!G81</f>
        <v>-35292</v>
      </c>
      <c r="H27" s="761">
        <f t="shared" si="0"/>
        <v>439.44714232349645</v>
      </c>
    </row>
    <row r="28" spans="1:10" ht="20.25" customHeight="1" x14ac:dyDescent="0.2">
      <c r="A28" s="296" t="s">
        <v>404</v>
      </c>
      <c r="B28" s="281">
        <v>0</v>
      </c>
      <c r="C28" s="282">
        <f>+'Sumář příjmů a výdajů'!C44</f>
        <v>0</v>
      </c>
      <c r="D28" s="281">
        <f>+'Sumář příjmů a výdajů'!D44</f>
        <v>0</v>
      </c>
      <c r="E28" s="283">
        <f>+'Sumář příjmů a výdajů'!E44</f>
        <v>0</v>
      </c>
      <c r="F28" s="294">
        <f>-'Sumář příjmů a výdajů'!F82</f>
        <v>-2200000</v>
      </c>
      <c r="G28" s="285">
        <v>0</v>
      </c>
      <c r="H28" s="1000" t="s">
        <v>60</v>
      </c>
    </row>
    <row r="29" spans="1:10" ht="20.25" customHeight="1" x14ac:dyDescent="0.2">
      <c r="A29" s="296" t="s">
        <v>68</v>
      </c>
      <c r="B29" s="281">
        <v>0</v>
      </c>
      <c r="C29" s="282">
        <f>+'Sumář příjmů a výdajů'!C45</f>
        <v>1376.12</v>
      </c>
      <c r="D29" s="281">
        <f>+'Sumář příjmů a výdajů'!D45</f>
        <v>0</v>
      </c>
      <c r="E29" s="283">
        <f>+'Sumář příjmů a výdajů'!E45</f>
        <v>0</v>
      </c>
      <c r="F29" s="294">
        <f>-'Sumář příjmů a výdajů'!F83</f>
        <v>-55211.67</v>
      </c>
      <c r="G29" s="285">
        <v>0</v>
      </c>
      <c r="H29" s="1000" t="s">
        <v>60</v>
      </c>
    </row>
    <row r="30" spans="1:10" s="687" customFormat="1" ht="30.2" customHeight="1" thickBot="1" x14ac:dyDescent="0.25">
      <c r="A30" s="999" t="s">
        <v>41</v>
      </c>
      <c r="B30" s="403">
        <f t="shared" ref="B30:G30" si="7">SUM(B21:B29)</f>
        <v>3047045</v>
      </c>
      <c r="C30" s="1179">
        <f t="shared" si="7"/>
        <v>-1341686.1299999999</v>
      </c>
      <c r="D30" s="403">
        <f t="shared" si="7"/>
        <v>1701249</v>
      </c>
      <c r="E30" s="733">
        <f t="shared" si="7"/>
        <v>7223673.1500000004</v>
      </c>
      <c r="F30" s="734">
        <f t="shared" si="7"/>
        <v>-4193757.3699999996</v>
      </c>
      <c r="G30" s="735">
        <f t="shared" si="7"/>
        <v>1432349</v>
      </c>
      <c r="H30" s="736">
        <f t="shared" si="0"/>
        <v>84.193965727533126</v>
      </c>
      <c r="I30" s="594"/>
      <c r="J30" s="594"/>
    </row>
    <row r="31" spans="1:10" s="687" customFormat="1" ht="6" customHeight="1" thickBot="1" x14ac:dyDescent="0.25">
      <c r="A31" s="297"/>
      <c r="B31" s="298"/>
      <c r="C31" s="299"/>
      <c r="D31" s="298"/>
      <c r="E31" s="300"/>
      <c r="F31" s="301"/>
      <c r="G31" s="302"/>
      <c r="H31" s="303"/>
      <c r="I31" s="594"/>
      <c r="J31" s="594"/>
    </row>
    <row r="32" spans="1:10" s="687" customFormat="1" ht="30" customHeight="1" thickBot="1" x14ac:dyDescent="0.25">
      <c r="A32" s="304" t="s">
        <v>17</v>
      </c>
      <c r="B32" s="1181">
        <f t="shared" ref="B32:G32" si="8">SUM(B19+B30)</f>
        <v>0</v>
      </c>
      <c r="C32" s="1180">
        <f t="shared" si="8"/>
        <v>-4.6566128730773926E-9</v>
      </c>
      <c r="D32" s="305">
        <f t="shared" si="8"/>
        <v>0</v>
      </c>
      <c r="E32" s="731">
        <f t="shared" si="8"/>
        <v>-1.0000001639127731E-3</v>
      </c>
      <c r="F32" s="306">
        <f t="shared" si="8"/>
        <v>1.9999942742288113E-3</v>
      </c>
      <c r="G32" s="307">
        <f t="shared" si="8"/>
        <v>0</v>
      </c>
      <c r="H32" s="308" t="s">
        <v>60</v>
      </c>
      <c r="I32" s="594"/>
      <c r="J32" s="594"/>
    </row>
    <row r="33" spans="1:8" ht="15.75" x14ac:dyDescent="0.2">
      <c r="A33" s="690"/>
    </row>
    <row r="34" spans="1:8" ht="15.75" x14ac:dyDescent="0.2">
      <c r="A34" s="690"/>
    </row>
    <row r="35" spans="1:8" ht="38.25" customHeight="1" x14ac:dyDescent="0.2">
      <c r="A35" s="1197" t="s">
        <v>354</v>
      </c>
      <c r="B35" s="1197"/>
      <c r="C35" s="1197"/>
      <c r="D35" s="1197"/>
      <c r="E35" s="1197"/>
      <c r="F35" s="1197"/>
      <c r="G35" s="1197"/>
      <c r="H35" s="1197"/>
    </row>
    <row r="36" spans="1:8" ht="15.75" x14ac:dyDescent="0.2">
      <c r="A36" s="690"/>
    </row>
    <row r="37" spans="1:8" ht="15.75" x14ac:dyDescent="0.2">
      <c r="A37" s="690"/>
    </row>
    <row r="38" spans="1:8" ht="15.75" x14ac:dyDescent="0.2">
      <c r="A38" s="690"/>
    </row>
    <row r="39" spans="1:8" ht="15.75" x14ac:dyDescent="0.2">
      <c r="A39" s="690"/>
    </row>
    <row r="40" spans="1:8" ht="15.75" x14ac:dyDescent="0.2">
      <c r="A40" s="690"/>
    </row>
    <row r="41" spans="1:8" ht="15.75" x14ac:dyDescent="0.2">
      <c r="A41" s="690"/>
    </row>
    <row r="42" spans="1:8" ht="15.75" x14ac:dyDescent="0.2">
      <c r="A42" s="690"/>
    </row>
    <row r="43" spans="1:8" ht="15.75" x14ac:dyDescent="0.2">
      <c r="A43" s="690"/>
    </row>
    <row r="44" spans="1:8" ht="15.75" x14ac:dyDescent="0.2">
      <c r="A44" s="690"/>
    </row>
    <row r="446" spans="1:1" x14ac:dyDescent="0.2">
      <c r="A446" s="691"/>
    </row>
  </sheetData>
  <mergeCells count="6">
    <mergeCell ref="A35:H35"/>
    <mergeCell ref="B7:C7"/>
    <mergeCell ref="A7:A8"/>
    <mergeCell ref="D7:F7"/>
    <mergeCell ref="G7:G8"/>
    <mergeCell ref="H7:H8"/>
  </mergeCells>
  <phoneticPr fontId="8" type="noConversion"/>
  <printOptions horizontalCentered="1"/>
  <pageMargins left="0.59055118110236227" right="0.59055118110236227" top="0.78740157480314965" bottom="0.78740157480314965" header="0.59055118110236227" footer="0.59055118110236227"/>
  <pageSetup paperSize="9" scale="6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444"/>
  <sheetViews>
    <sheetView workbookViewId="0"/>
  </sheetViews>
  <sheetFormatPr defaultColWidth="9.140625" defaultRowHeight="15" x14ac:dyDescent="0.2"/>
  <cols>
    <col min="1" max="1" width="72.7109375" style="174" customWidth="1"/>
    <col min="2" max="2" width="16.7109375" style="589" customWidth="1"/>
    <col min="3" max="3" width="15.42578125" style="589" customWidth="1"/>
    <col min="4" max="6" width="16.7109375" style="589" customWidth="1"/>
    <col min="7" max="7" width="18.5703125" style="215" customWidth="1"/>
    <col min="8" max="8" width="10.7109375" style="698" customWidth="1"/>
    <col min="9" max="9" width="12.5703125" style="883" customWidth="1"/>
    <col min="10" max="10" width="11.42578125" style="71" bestFit="1" customWidth="1"/>
    <col min="11" max="11" width="10" style="71" bestFit="1" customWidth="1"/>
    <col min="12" max="12" width="11.28515625" style="71" bestFit="1" customWidth="1"/>
    <col min="13" max="13" width="9.85546875" style="71" bestFit="1" customWidth="1"/>
    <col min="14" max="16384" width="9.140625" style="71"/>
  </cols>
  <sheetData>
    <row r="1" spans="1:11" ht="15" customHeight="1" x14ac:dyDescent="0.2">
      <c r="H1" s="692"/>
    </row>
    <row r="2" spans="1:11" s="57" customFormat="1" ht="24" customHeight="1" x14ac:dyDescent="0.2">
      <c r="A2" s="672" t="s">
        <v>506</v>
      </c>
      <c r="B2" s="594"/>
      <c r="C2" s="594"/>
      <c r="D2" s="594"/>
      <c r="E2" s="594"/>
      <c r="F2" s="594"/>
      <c r="G2" s="636"/>
      <c r="I2" s="884"/>
    </row>
    <row r="3" spans="1:11" ht="15" customHeight="1" x14ac:dyDescent="0.2">
      <c r="A3" s="1182"/>
      <c r="B3" s="325"/>
      <c r="C3" s="325"/>
      <c r="D3" s="325"/>
      <c r="E3" s="325"/>
      <c r="F3" s="325"/>
      <c r="H3" s="71"/>
    </row>
    <row r="4" spans="1:11" ht="20.100000000000001" customHeight="1" x14ac:dyDescent="0.2">
      <c r="A4" s="678" t="s">
        <v>40</v>
      </c>
      <c r="B4" s="325"/>
      <c r="C4" s="325"/>
      <c r="D4" s="325"/>
      <c r="E4" s="325"/>
      <c r="F4" s="325"/>
      <c r="H4" s="71"/>
    </row>
    <row r="5" spans="1:11" ht="15" customHeight="1" x14ac:dyDescent="0.2">
      <c r="A5" s="678"/>
      <c r="B5" s="325"/>
      <c r="C5" s="325"/>
      <c r="D5" s="325"/>
      <c r="E5" s="325"/>
      <c r="F5" s="325"/>
      <c r="H5" s="71"/>
    </row>
    <row r="6" spans="1:11" ht="15" customHeight="1" thickBot="1" x14ac:dyDescent="0.25">
      <c r="B6" s="693"/>
      <c r="C6" s="693"/>
      <c r="D6" s="693"/>
      <c r="E6" s="693"/>
      <c r="F6" s="693"/>
      <c r="H6" s="175" t="s">
        <v>0</v>
      </c>
    </row>
    <row r="7" spans="1:11" s="34" customFormat="1" ht="20.100000000000001" customHeight="1" x14ac:dyDescent="0.2">
      <c r="A7" s="1213" t="s">
        <v>1</v>
      </c>
      <c r="B7" s="1198" t="s">
        <v>365</v>
      </c>
      <c r="C7" s="1199"/>
      <c r="D7" s="1198" t="s">
        <v>440</v>
      </c>
      <c r="E7" s="1202"/>
      <c r="F7" s="1199"/>
      <c r="G7" s="1203" t="s">
        <v>507</v>
      </c>
      <c r="H7" s="1205" t="s">
        <v>509</v>
      </c>
    </row>
    <row r="8" spans="1:11" s="34" customFormat="1" ht="35.1" customHeight="1" thickBot="1" x14ac:dyDescent="0.25">
      <c r="A8" s="1214"/>
      <c r="B8" s="264" t="s">
        <v>109</v>
      </c>
      <c r="C8" s="942" t="s">
        <v>126</v>
      </c>
      <c r="D8" s="264" t="s">
        <v>109</v>
      </c>
      <c r="E8" s="265" t="s">
        <v>589</v>
      </c>
      <c r="F8" s="266" t="s">
        <v>595</v>
      </c>
      <c r="G8" s="1204"/>
      <c r="H8" s="1206"/>
    </row>
    <row r="9" spans="1:11" s="34" customFormat="1" ht="20.25" customHeight="1" x14ac:dyDescent="0.2">
      <c r="A9" s="1218" t="s">
        <v>2</v>
      </c>
      <c r="B9" s="1219"/>
      <c r="C9" s="1219"/>
      <c r="D9" s="1219"/>
      <c r="E9" s="1219"/>
      <c r="F9" s="1219"/>
      <c r="G9" s="1219"/>
      <c r="H9" s="1220"/>
    </row>
    <row r="10" spans="1:11" s="34" customFormat="1" ht="20.100000000000001" customHeight="1" x14ac:dyDescent="0.2">
      <c r="A10" s="216" t="s">
        <v>3</v>
      </c>
      <c r="B10" s="217">
        <v>13500000</v>
      </c>
      <c r="C10" s="218">
        <v>15049568.27</v>
      </c>
      <c r="D10" s="217">
        <v>15000000</v>
      </c>
      <c r="E10" s="219">
        <v>15063027.6</v>
      </c>
      <c r="F10" s="218">
        <v>11122536.130000001</v>
      </c>
      <c r="G10" s="103">
        <v>15500000</v>
      </c>
      <c r="H10" s="224">
        <f t="shared" ref="H10:H33" si="0">G10/D10*100</f>
        <v>103.33333333333334</v>
      </c>
      <c r="I10" s="883"/>
    </row>
    <row r="11" spans="1:11" s="34" customFormat="1" ht="20.100000000000001" customHeight="1" x14ac:dyDescent="0.2">
      <c r="A11" s="216" t="s">
        <v>56</v>
      </c>
      <c r="B11" s="217">
        <v>4000</v>
      </c>
      <c r="C11" s="218">
        <v>6309.54</v>
      </c>
      <c r="D11" s="217">
        <v>4000</v>
      </c>
      <c r="E11" s="219">
        <v>4000</v>
      </c>
      <c r="F11" s="218">
        <v>5493.62</v>
      </c>
      <c r="G11" s="103">
        <v>4000</v>
      </c>
      <c r="H11" s="224">
        <f t="shared" si="0"/>
        <v>100</v>
      </c>
    </row>
    <row r="12" spans="1:11" s="34" customFormat="1" ht="20.100000000000001" customHeight="1" x14ac:dyDescent="0.2">
      <c r="A12" s="216" t="s">
        <v>89</v>
      </c>
      <c r="B12" s="217">
        <v>10000</v>
      </c>
      <c r="C12" s="218">
        <v>19643.7</v>
      </c>
      <c r="D12" s="217">
        <v>12000</v>
      </c>
      <c r="E12" s="219">
        <v>12000</v>
      </c>
      <c r="F12" s="218">
        <v>12213.78</v>
      </c>
      <c r="G12" s="103">
        <v>12000</v>
      </c>
      <c r="H12" s="224">
        <f t="shared" si="0"/>
        <v>100</v>
      </c>
    </row>
    <row r="13" spans="1:11" s="694" customFormat="1" ht="20.100000000000001" customHeight="1" x14ac:dyDescent="0.2">
      <c r="A13" s="216" t="s">
        <v>334</v>
      </c>
      <c r="B13" s="217">
        <v>50000</v>
      </c>
      <c r="C13" s="218">
        <v>66797</v>
      </c>
      <c r="D13" s="217">
        <v>55000</v>
      </c>
      <c r="E13" s="219">
        <v>66525.48</v>
      </c>
      <c r="F13" s="218">
        <v>67431.789999999994</v>
      </c>
      <c r="G13" s="103">
        <v>55000</v>
      </c>
      <c r="H13" s="224">
        <f t="shared" si="0"/>
        <v>100</v>
      </c>
      <c r="I13" s="883"/>
    </row>
    <row r="14" spans="1:11" s="694" customFormat="1" ht="20.100000000000001" customHeight="1" x14ac:dyDescent="0.2">
      <c r="A14" s="216" t="s">
        <v>555</v>
      </c>
      <c r="B14" s="217">
        <v>0</v>
      </c>
      <c r="C14" s="218">
        <v>0</v>
      </c>
      <c r="D14" s="217">
        <v>0</v>
      </c>
      <c r="E14" s="219">
        <v>0</v>
      </c>
      <c r="F14" s="218">
        <v>1573.49</v>
      </c>
      <c r="G14" s="103">
        <v>0</v>
      </c>
      <c r="H14" s="224" t="s">
        <v>60</v>
      </c>
    </row>
    <row r="15" spans="1:11" s="34" customFormat="1" ht="20.100000000000001" customHeight="1" x14ac:dyDescent="0.2">
      <c r="A15" s="216" t="s">
        <v>4</v>
      </c>
      <c r="B15" s="217">
        <v>30000</v>
      </c>
      <c r="C15" s="218">
        <v>190396.11</v>
      </c>
      <c r="D15" s="217">
        <v>60000</v>
      </c>
      <c r="E15" s="219">
        <v>60131.62</v>
      </c>
      <c r="F15" s="218">
        <v>186516.93</v>
      </c>
      <c r="G15" s="103">
        <v>120000</v>
      </c>
      <c r="H15" s="224">
        <f t="shared" si="0"/>
        <v>200</v>
      </c>
      <c r="I15" s="883"/>
      <c r="K15" s="33"/>
    </row>
    <row r="16" spans="1:11" s="34" customFormat="1" ht="20.100000000000001" customHeight="1" x14ac:dyDescent="0.2">
      <c r="A16" s="216" t="s">
        <v>5</v>
      </c>
      <c r="B16" s="217">
        <v>0</v>
      </c>
      <c r="C16" s="218">
        <v>24519.19</v>
      </c>
      <c r="D16" s="217">
        <v>0</v>
      </c>
      <c r="E16" s="219">
        <v>0</v>
      </c>
      <c r="F16" s="218">
        <v>18902.830000000002</v>
      </c>
      <c r="G16" s="103">
        <v>0</v>
      </c>
      <c r="H16" s="224" t="s">
        <v>60</v>
      </c>
    </row>
    <row r="17" spans="1:10" s="34" customFormat="1" ht="30" customHeight="1" x14ac:dyDescent="0.2">
      <c r="A17" s="216" t="s">
        <v>272</v>
      </c>
      <c r="B17" s="217">
        <v>78034</v>
      </c>
      <c r="C17" s="218">
        <v>65245.93</v>
      </c>
      <c r="D17" s="217">
        <v>19508</v>
      </c>
      <c r="E17" s="219">
        <v>19508</v>
      </c>
      <c r="F17" s="218">
        <v>22074.59</v>
      </c>
      <c r="G17" s="103">
        <v>0</v>
      </c>
      <c r="H17" s="224">
        <f t="shared" si="0"/>
        <v>0</v>
      </c>
    </row>
    <row r="18" spans="1:10" s="34" customFormat="1" ht="20.100000000000001" customHeight="1" x14ac:dyDescent="0.2">
      <c r="A18" s="216" t="s">
        <v>559</v>
      </c>
      <c r="B18" s="217">
        <v>1530624</v>
      </c>
      <c r="C18" s="218">
        <v>487732.09</v>
      </c>
      <c r="D18" s="217">
        <v>0</v>
      </c>
      <c r="E18" s="219">
        <v>285450.99</v>
      </c>
      <c r="F18" s="717">
        <v>335987.42</v>
      </c>
      <c r="G18" s="103">
        <v>497700</v>
      </c>
      <c r="H18" s="224" t="s">
        <v>60</v>
      </c>
      <c r="I18" s="883"/>
    </row>
    <row r="19" spans="1:10" s="34" customFormat="1" ht="27.75" customHeight="1" x14ac:dyDescent="0.2">
      <c r="A19" s="216" t="s">
        <v>560</v>
      </c>
      <c r="B19" s="217">
        <v>92196</v>
      </c>
      <c r="C19" s="218">
        <v>8334.9699999999993</v>
      </c>
      <c r="D19" s="217">
        <v>0</v>
      </c>
      <c r="E19" s="219">
        <v>6293</v>
      </c>
      <c r="F19" s="717">
        <v>6293</v>
      </c>
      <c r="G19" s="103">
        <v>7700</v>
      </c>
      <c r="H19" s="224" t="s">
        <v>60</v>
      </c>
      <c r="I19" s="883"/>
    </row>
    <row r="20" spans="1:10" s="34" customFormat="1" ht="20.100000000000001" customHeight="1" x14ac:dyDescent="0.2">
      <c r="A20" s="216" t="s">
        <v>342</v>
      </c>
      <c r="B20" s="217">
        <v>5000</v>
      </c>
      <c r="C20" s="218">
        <v>64146.14</v>
      </c>
      <c r="D20" s="217">
        <v>5000</v>
      </c>
      <c r="E20" s="219">
        <v>9715.5499999999993</v>
      </c>
      <c r="F20" s="218">
        <v>48112.4</v>
      </c>
      <c r="G20" s="103">
        <f>5000+14000+22000</f>
        <v>41000</v>
      </c>
      <c r="H20" s="224">
        <f t="shared" si="0"/>
        <v>819.99999999999989</v>
      </c>
      <c r="I20" s="883"/>
    </row>
    <row r="21" spans="1:10" s="34" customFormat="1" ht="20.100000000000001" customHeight="1" x14ac:dyDescent="0.2">
      <c r="A21" s="216" t="s">
        <v>63</v>
      </c>
      <c r="B21" s="217">
        <v>0</v>
      </c>
      <c r="C21" s="218">
        <v>696277.87</v>
      </c>
      <c r="D21" s="217">
        <v>0</v>
      </c>
      <c r="E21" s="219">
        <v>653473.11</v>
      </c>
      <c r="F21" s="219">
        <v>987644.99</v>
      </c>
      <c r="G21" s="103">
        <v>0</v>
      </c>
      <c r="H21" s="224" t="s">
        <v>60</v>
      </c>
      <c r="I21" s="883"/>
    </row>
    <row r="22" spans="1:10" s="34" customFormat="1" ht="20.100000000000001" customHeight="1" x14ac:dyDescent="0.2">
      <c r="A22" s="216" t="s">
        <v>6</v>
      </c>
      <c r="B22" s="217">
        <v>16000</v>
      </c>
      <c r="C22" s="218">
        <v>25606.91</v>
      </c>
      <c r="D22" s="217">
        <v>17000</v>
      </c>
      <c r="E22" s="219">
        <v>17000</v>
      </c>
      <c r="F22" s="218">
        <v>17526.46</v>
      </c>
      <c r="G22" s="103">
        <v>9000</v>
      </c>
      <c r="H22" s="224">
        <f t="shared" si="0"/>
        <v>52.941176470588239</v>
      </c>
      <c r="I22" s="883"/>
    </row>
    <row r="23" spans="1:10" s="34" customFormat="1" ht="30" customHeight="1" x14ac:dyDescent="0.2">
      <c r="A23" s="216" t="s">
        <v>7</v>
      </c>
      <c r="B23" s="217">
        <v>208661.3</v>
      </c>
      <c r="C23" s="218">
        <v>208661.3</v>
      </c>
      <c r="D23" s="217">
        <v>214000.8</v>
      </c>
      <c r="E23" s="219">
        <v>214000.8</v>
      </c>
      <c r="F23" s="218">
        <v>160500.6</v>
      </c>
      <c r="G23" s="103">
        <v>244949.7</v>
      </c>
      <c r="H23" s="224">
        <f t="shared" si="0"/>
        <v>114.46204874000472</v>
      </c>
      <c r="I23" s="883"/>
    </row>
    <row r="24" spans="1:10" s="34" customFormat="1" ht="30.75" customHeight="1" x14ac:dyDescent="0.2">
      <c r="A24" s="216" t="s">
        <v>557</v>
      </c>
      <c r="B24" s="217">
        <v>0</v>
      </c>
      <c r="C24" s="218">
        <v>1636412.95</v>
      </c>
      <c r="D24" s="217">
        <v>641609</v>
      </c>
      <c r="E24" s="219">
        <v>921966.88</v>
      </c>
      <c r="F24" s="218">
        <v>729944.17</v>
      </c>
      <c r="G24" s="103">
        <v>350600</v>
      </c>
      <c r="H24" s="224">
        <f t="shared" si="0"/>
        <v>54.643871890824471</v>
      </c>
      <c r="I24" s="215"/>
      <c r="J24" s="33"/>
    </row>
    <row r="25" spans="1:10" s="34" customFormat="1" ht="30" customHeight="1" x14ac:dyDescent="0.2">
      <c r="A25" s="216" t="s">
        <v>558</v>
      </c>
      <c r="B25" s="217">
        <v>0</v>
      </c>
      <c r="C25" s="218">
        <v>10165.780000000001</v>
      </c>
      <c r="D25" s="217">
        <v>26223</v>
      </c>
      <c r="E25" s="219">
        <v>23308.97</v>
      </c>
      <c r="F25" s="218">
        <v>7542.87</v>
      </c>
      <c r="G25" s="103">
        <v>6000</v>
      </c>
      <c r="H25" s="224">
        <f t="shared" si="0"/>
        <v>22.880677268047133</v>
      </c>
      <c r="I25" s="883"/>
    </row>
    <row r="26" spans="1:10" s="34" customFormat="1" ht="20.100000000000001" customHeight="1" x14ac:dyDescent="0.2">
      <c r="A26" s="216" t="s">
        <v>8</v>
      </c>
      <c r="B26" s="217">
        <v>26225000</v>
      </c>
      <c r="C26" s="218">
        <v>25278763.84</v>
      </c>
      <c r="D26" s="217">
        <v>27760000</v>
      </c>
      <c r="E26" s="219">
        <v>26679712.809999999</v>
      </c>
      <c r="F26" s="218">
        <v>21471882.329999998</v>
      </c>
      <c r="G26" s="103">
        <v>29816000</v>
      </c>
      <c r="H26" s="224">
        <f t="shared" si="0"/>
        <v>107.4063400576369</v>
      </c>
      <c r="I26" s="33"/>
    </row>
    <row r="27" spans="1:10" s="34" customFormat="1" ht="20.100000000000001" customHeight="1" x14ac:dyDescent="0.2">
      <c r="A27" s="216" t="s">
        <v>470</v>
      </c>
      <c r="B27" s="217">
        <v>0</v>
      </c>
      <c r="C27" s="218">
        <v>558431.76</v>
      </c>
      <c r="D27" s="217">
        <v>642754</v>
      </c>
      <c r="E27" s="219">
        <v>642754.94999999995</v>
      </c>
      <c r="F27" s="218">
        <v>482067</v>
      </c>
      <c r="G27" s="103">
        <v>711529</v>
      </c>
      <c r="H27" s="224">
        <f t="shared" si="0"/>
        <v>110.70005009692667</v>
      </c>
    </row>
    <row r="28" spans="1:10" s="34" customFormat="1" ht="20.100000000000001" customHeight="1" x14ac:dyDescent="0.2">
      <c r="A28" s="216" t="s">
        <v>498</v>
      </c>
      <c r="B28" s="217">
        <v>0</v>
      </c>
      <c r="C28" s="218">
        <v>2725250.39</v>
      </c>
      <c r="D28" s="217">
        <v>2741336</v>
      </c>
      <c r="E28" s="219">
        <v>2744836</v>
      </c>
      <c r="F28" s="218">
        <v>2734287.9</v>
      </c>
      <c r="G28" s="103">
        <v>2842800</v>
      </c>
      <c r="H28" s="224">
        <f t="shared" si="0"/>
        <v>103.70126099099126</v>
      </c>
    </row>
    <row r="29" spans="1:10" s="588" customFormat="1" ht="20.100000000000001" customHeight="1" x14ac:dyDescent="0.2">
      <c r="A29" s="216" t="s">
        <v>61</v>
      </c>
      <c r="B29" s="217">
        <v>0</v>
      </c>
      <c r="C29" s="218">
        <v>3533787.98</v>
      </c>
      <c r="D29" s="217">
        <v>0</v>
      </c>
      <c r="E29" s="219">
        <v>2223369.7599999998</v>
      </c>
      <c r="F29" s="219">
        <v>1569382.7100000039</v>
      </c>
      <c r="G29" s="103">
        <v>0</v>
      </c>
      <c r="H29" s="224" t="s">
        <v>60</v>
      </c>
      <c r="I29" s="34"/>
    </row>
    <row r="30" spans="1:10" s="588" customFormat="1" ht="20.100000000000001" customHeight="1" x14ac:dyDescent="0.2">
      <c r="A30" s="225" t="s">
        <v>603</v>
      </c>
      <c r="B30" s="226">
        <v>220000</v>
      </c>
      <c r="C30" s="227">
        <v>225892.65</v>
      </c>
      <c r="D30" s="226">
        <v>220000</v>
      </c>
      <c r="E30" s="228">
        <v>220000</v>
      </c>
      <c r="F30" s="227">
        <v>152282.88</v>
      </c>
      <c r="G30" s="104">
        <v>210000</v>
      </c>
      <c r="H30" s="224">
        <f t="shared" si="0"/>
        <v>95.454545454545453</v>
      </c>
      <c r="I30" s="34"/>
    </row>
    <row r="31" spans="1:10" s="588" customFormat="1" ht="20.100000000000001" customHeight="1" x14ac:dyDescent="0.2">
      <c r="A31" s="225" t="s">
        <v>604</v>
      </c>
      <c r="B31" s="226">
        <v>50000</v>
      </c>
      <c r="C31" s="227">
        <v>49078.34</v>
      </c>
      <c r="D31" s="226">
        <v>53000</v>
      </c>
      <c r="E31" s="228">
        <v>53000</v>
      </c>
      <c r="F31" s="227">
        <v>35017.160000000003</v>
      </c>
      <c r="G31" s="104">
        <v>63000</v>
      </c>
      <c r="H31" s="224">
        <f t="shared" si="0"/>
        <v>118.86792452830188</v>
      </c>
      <c r="I31" s="34"/>
    </row>
    <row r="32" spans="1:10" s="588" customFormat="1" ht="20.100000000000001" customHeight="1" x14ac:dyDescent="0.2">
      <c r="A32" s="225" t="s">
        <v>468</v>
      </c>
      <c r="B32" s="226">
        <v>0</v>
      </c>
      <c r="C32" s="227">
        <v>42319.87</v>
      </c>
      <c r="D32" s="226">
        <v>78913</v>
      </c>
      <c r="E32" s="228">
        <v>78913</v>
      </c>
      <c r="F32" s="227">
        <v>46156.4</v>
      </c>
      <c r="G32" s="104">
        <v>105000</v>
      </c>
      <c r="H32" s="224">
        <f t="shared" si="0"/>
        <v>133.05792454982068</v>
      </c>
      <c r="I32" s="34"/>
    </row>
    <row r="33" spans="1:9" s="588" customFormat="1" ht="20.100000000000001" customHeight="1" x14ac:dyDescent="0.2">
      <c r="A33" s="225" t="s">
        <v>469</v>
      </c>
      <c r="B33" s="226">
        <v>0</v>
      </c>
      <c r="C33" s="227">
        <v>152947.22</v>
      </c>
      <c r="D33" s="226">
        <v>251886</v>
      </c>
      <c r="E33" s="228">
        <v>251886</v>
      </c>
      <c r="F33" s="227">
        <v>145004.76</v>
      </c>
      <c r="G33" s="104">
        <v>297799</v>
      </c>
      <c r="H33" s="224">
        <f t="shared" si="0"/>
        <v>118.22769030434404</v>
      </c>
      <c r="I33" s="34"/>
    </row>
    <row r="34" spans="1:9" s="34" customFormat="1" ht="20.100000000000001" customHeight="1" thickBot="1" x14ac:dyDescent="0.25">
      <c r="A34" s="225" t="s">
        <v>62</v>
      </c>
      <c r="B34" s="226">
        <v>0</v>
      </c>
      <c r="C34" s="227">
        <v>1909.17</v>
      </c>
      <c r="D34" s="226">
        <v>0</v>
      </c>
      <c r="E34" s="228">
        <v>1386.12</v>
      </c>
      <c r="F34" s="227">
        <v>1386.12</v>
      </c>
      <c r="G34" s="104">
        <v>0</v>
      </c>
      <c r="H34" s="224" t="s">
        <v>60</v>
      </c>
    </row>
    <row r="35" spans="1:9" s="34" customFormat="1" ht="20.25" customHeight="1" thickBot="1" x14ac:dyDescent="0.25">
      <c r="A35" s="625" t="s">
        <v>9</v>
      </c>
      <c r="B35" s="626">
        <f t="shared" ref="B35:G35" si="1">SUM(B10:B34)</f>
        <v>42019515.299999997</v>
      </c>
      <c r="C35" s="627">
        <f t="shared" si="1"/>
        <v>51128198.969999991</v>
      </c>
      <c r="D35" s="626">
        <f t="shared" si="1"/>
        <v>47802229.799999997</v>
      </c>
      <c r="E35" s="628">
        <f t="shared" si="1"/>
        <v>50252260.640000001</v>
      </c>
      <c r="F35" s="627">
        <f t="shared" si="1"/>
        <v>40367762.329999991</v>
      </c>
      <c r="G35" s="146">
        <f t="shared" si="1"/>
        <v>50894077.700000003</v>
      </c>
      <c r="H35" s="629">
        <f>G35/D35*100</f>
        <v>106.46799932332864</v>
      </c>
    </row>
    <row r="36" spans="1:9" s="34" customFormat="1" ht="7.5" customHeight="1" thickBot="1" x14ac:dyDescent="0.25">
      <c r="A36" s="174"/>
      <c r="B36" s="33"/>
      <c r="C36" s="33"/>
      <c r="D36" s="33"/>
      <c r="E36" s="33"/>
      <c r="F36" s="33"/>
      <c r="G36" s="33"/>
      <c r="H36" s="175"/>
    </row>
    <row r="37" spans="1:9" s="34" customFormat="1" ht="28.5" customHeight="1" x14ac:dyDescent="0.2">
      <c r="A37" s="1218" t="s">
        <v>10</v>
      </c>
      <c r="B37" s="1219"/>
      <c r="C37" s="1219"/>
      <c r="D37" s="1219"/>
      <c r="E37" s="1219"/>
      <c r="F37" s="1219"/>
      <c r="G37" s="1219"/>
      <c r="H37" s="1220"/>
    </row>
    <row r="38" spans="1:9" s="34" customFormat="1" ht="20.100000000000001" customHeight="1" x14ac:dyDescent="0.2">
      <c r="A38" s="216" t="s">
        <v>94</v>
      </c>
      <c r="B38" s="217">
        <v>0</v>
      </c>
      <c r="C38" s="218">
        <f>-1660435.43-10822.01</f>
        <v>-1671257.44</v>
      </c>
      <c r="D38" s="217">
        <v>0</v>
      </c>
      <c r="E38" s="219">
        <v>5521688.8800000008</v>
      </c>
      <c r="F38" s="717">
        <v>-2450157.86</v>
      </c>
      <c r="G38" s="103">
        <v>0</v>
      </c>
      <c r="H38" s="224" t="s">
        <v>60</v>
      </c>
    </row>
    <row r="39" spans="1:9" s="34" customFormat="1" ht="30" customHeight="1" x14ac:dyDescent="0.2">
      <c r="A39" s="216" t="s">
        <v>346</v>
      </c>
      <c r="B39" s="217">
        <v>10000</v>
      </c>
      <c r="C39" s="218">
        <v>10822.01</v>
      </c>
      <c r="D39" s="986">
        <v>10000</v>
      </c>
      <c r="E39" s="219">
        <v>10735.27</v>
      </c>
      <c r="F39" s="717">
        <v>10735.27</v>
      </c>
      <c r="G39" s="103">
        <v>10000</v>
      </c>
      <c r="H39" s="224">
        <f t="shared" ref="H39:H43" si="2">G39/D39*100</f>
        <v>100</v>
      </c>
    </row>
    <row r="40" spans="1:9" s="34" customFormat="1" ht="30" customHeight="1" x14ac:dyDescent="0.2">
      <c r="A40" s="216" t="s">
        <v>492</v>
      </c>
      <c r="B40" s="217">
        <v>0</v>
      </c>
      <c r="C40" s="218">
        <v>0</v>
      </c>
      <c r="D40" s="986">
        <v>19562</v>
      </c>
      <c r="E40" s="219">
        <v>19562</v>
      </c>
      <c r="F40" s="717">
        <v>19562</v>
      </c>
      <c r="G40" s="103">
        <v>0</v>
      </c>
      <c r="H40" s="224">
        <f t="shared" si="2"/>
        <v>0</v>
      </c>
    </row>
    <row r="41" spans="1:9" s="34" customFormat="1" ht="30" customHeight="1" x14ac:dyDescent="0.2">
      <c r="A41" s="912" t="s">
        <v>437</v>
      </c>
      <c r="B41" s="913">
        <v>1579703</v>
      </c>
      <c r="C41" s="914">
        <v>635000</v>
      </c>
      <c r="D41" s="987">
        <v>1006026</v>
      </c>
      <c r="E41" s="915">
        <v>1006026</v>
      </c>
      <c r="F41" s="914">
        <v>700000</v>
      </c>
      <c r="G41" s="911">
        <f>+G62+G57</f>
        <v>308428</v>
      </c>
      <c r="H41" s="224">
        <f t="shared" si="2"/>
        <v>30.658054563202143</v>
      </c>
      <c r="I41" s="1149"/>
    </row>
    <row r="42" spans="1:9" s="34" customFormat="1" ht="30" customHeight="1" x14ac:dyDescent="0.2">
      <c r="A42" s="762" t="s">
        <v>327</v>
      </c>
      <c r="B42" s="569">
        <v>385472</v>
      </c>
      <c r="C42" s="570">
        <v>0</v>
      </c>
      <c r="D42" s="988">
        <v>377022</v>
      </c>
      <c r="E42" s="571">
        <v>377022</v>
      </c>
      <c r="F42" s="570">
        <v>0</v>
      </c>
      <c r="G42" s="572">
        <f>+G99</f>
        <v>444000</v>
      </c>
      <c r="H42" s="224">
        <f t="shared" si="2"/>
        <v>117.76501106036253</v>
      </c>
    </row>
    <row r="43" spans="1:9" s="101" customFormat="1" ht="30" customHeight="1" x14ac:dyDescent="0.2">
      <c r="A43" s="764" t="s">
        <v>328</v>
      </c>
      <c r="B43" s="573">
        <v>1389497</v>
      </c>
      <c r="C43" s="574">
        <v>0</v>
      </c>
      <c r="D43" s="989">
        <v>575227</v>
      </c>
      <c r="E43" s="575">
        <v>575227</v>
      </c>
      <c r="F43" s="574">
        <v>0</v>
      </c>
      <c r="G43" s="576">
        <f>+G116</f>
        <v>944700</v>
      </c>
      <c r="H43" s="224">
        <f t="shared" si="2"/>
        <v>164.23081670366656</v>
      </c>
      <c r="I43" s="34"/>
    </row>
    <row r="44" spans="1:9" s="34" customFormat="1" ht="20.100000000000001" customHeight="1" x14ac:dyDescent="0.2">
      <c r="A44" s="216" t="s">
        <v>404</v>
      </c>
      <c r="B44" s="217">
        <v>0</v>
      </c>
      <c r="C44" s="218">
        <v>0</v>
      </c>
      <c r="D44" s="217">
        <v>0</v>
      </c>
      <c r="E44" s="219">
        <v>0</v>
      </c>
      <c r="F44" s="218">
        <v>0</v>
      </c>
      <c r="G44" s="103">
        <v>0</v>
      </c>
      <c r="H44" s="224" t="s">
        <v>60</v>
      </c>
    </row>
    <row r="45" spans="1:9" s="34" customFormat="1" ht="20.100000000000001" customHeight="1" thickBot="1" x14ac:dyDescent="0.25">
      <c r="A45" s="220" t="s">
        <v>227</v>
      </c>
      <c r="B45" s="221">
        <v>0</v>
      </c>
      <c r="C45" s="222">
        <v>1376.12</v>
      </c>
      <c r="D45" s="221">
        <v>0</v>
      </c>
      <c r="E45" s="223">
        <v>0</v>
      </c>
      <c r="F45" s="222">
        <v>0</v>
      </c>
      <c r="G45" s="176">
        <v>0</v>
      </c>
      <c r="H45" s="224" t="s">
        <v>60</v>
      </c>
    </row>
    <row r="46" spans="1:9" s="34" customFormat="1" ht="20.25" customHeight="1" thickBot="1" x14ac:dyDescent="0.25">
      <c r="A46" s="208" t="s">
        <v>11</v>
      </c>
      <c r="B46" s="209">
        <f t="shared" ref="B46:G46" si="3">SUM(B35:B45)</f>
        <v>45384187.299999997</v>
      </c>
      <c r="C46" s="210">
        <f t="shared" si="3"/>
        <v>50104139.659999989</v>
      </c>
      <c r="D46" s="209">
        <f t="shared" si="3"/>
        <v>49790066.799999997</v>
      </c>
      <c r="E46" s="211">
        <f t="shared" si="3"/>
        <v>57762521.790000007</v>
      </c>
      <c r="F46" s="210">
        <f t="shared" si="3"/>
        <v>38647901.739999995</v>
      </c>
      <c r="G46" s="146">
        <f t="shared" si="3"/>
        <v>52601205.700000003</v>
      </c>
      <c r="H46" s="921">
        <f>G46/D46*100</f>
        <v>105.64598338719242</v>
      </c>
      <c r="I46" s="33"/>
    </row>
    <row r="47" spans="1:9" ht="20.100000000000001" customHeight="1" thickBot="1" x14ac:dyDescent="0.25">
      <c r="B47" s="33"/>
      <c r="C47" s="33"/>
      <c r="D47" s="33"/>
      <c r="E47" s="33"/>
      <c r="F47" s="33"/>
      <c r="G47" s="33"/>
      <c r="H47" s="175"/>
    </row>
    <row r="48" spans="1:9" ht="20.100000000000001" customHeight="1" x14ac:dyDescent="0.2">
      <c r="A48" s="1215" t="s">
        <v>12</v>
      </c>
      <c r="B48" s="1216"/>
      <c r="C48" s="1216"/>
      <c r="D48" s="1216"/>
      <c r="E48" s="1216"/>
      <c r="F48" s="1216"/>
      <c r="G48" s="1216"/>
      <c r="H48" s="1217"/>
    </row>
    <row r="49" spans="1:13" ht="20.100000000000001" customHeight="1" x14ac:dyDescent="0.2">
      <c r="A49" s="232" t="s">
        <v>13</v>
      </c>
      <c r="B49" s="233">
        <f>+'Běžné výdaje kapitol'!B35</f>
        <v>10507832</v>
      </c>
      <c r="C49" s="234">
        <f>+'Běžné výdaje kapitol'!C35</f>
        <v>11392811.74</v>
      </c>
      <c r="D49" s="233">
        <f>+'Běžné výdaje kapitol'!D35</f>
        <v>12438008</v>
      </c>
      <c r="E49" s="235">
        <f>+'Běžné výdaje kapitol'!E35</f>
        <v>13491811.111</v>
      </c>
      <c r="F49" s="235">
        <f>+'Běžné výdaje kapitol'!F35</f>
        <v>9949668.9980000034</v>
      </c>
      <c r="G49" s="103">
        <f>+'Běžné výdaje kapitol'!G32</f>
        <v>13044246</v>
      </c>
      <c r="H49" s="240">
        <f>G49/D49*100</f>
        <v>104.87407629903439</v>
      </c>
      <c r="I49" s="932"/>
      <c r="J49" s="325"/>
    </row>
    <row r="50" spans="1:13" ht="20.100000000000001" customHeight="1" x14ac:dyDescent="0.2">
      <c r="A50" s="232" t="s">
        <v>51</v>
      </c>
      <c r="B50" s="233">
        <f>+Fondy!C28</f>
        <v>580700</v>
      </c>
      <c r="C50" s="234">
        <f>+Fondy!D28</f>
        <v>629414.91</v>
      </c>
      <c r="D50" s="233">
        <f>+Fondy!E28</f>
        <v>924400</v>
      </c>
      <c r="E50" s="235">
        <f>+Fondy!F28</f>
        <v>1401163.59</v>
      </c>
      <c r="F50" s="235">
        <f>+Fondy!G28</f>
        <v>484093.96</v>
      </c>
      <c r="G50" s="103">
        <f>+Fondy!H28</f>
        <v>790400</v>
      </c>
      <c r="H50" s="240">
        <f>G50/D50*100</f>
        <v>85.50411077455648</v>
      </c>
      <c r="I50" s="932"/>
    </row>
    <row r="51" spans="1:13" ht="52.15" customHeight="1" x14ac:dyDescent="0.2">
      <c r="A51" s="232" t="s">
        <v>268</v>
      </c>
      <c r="B51" s="233">
        <f>+Fondy!C31</f>
        <v>0</v>
      </c>
      <c r="C51" s="234">
        <f>+Fondy!D31</f>
        <v>1250</v>
      </c>
      <c r="D51" s="233">
        <v>0</v>
      </c>
      <c r="E51" s="235">
        <f>+Fondy!F31</f>
        <v>0</v>
      </c>
      <c r="F51" s="235">
        <f>+Fondy!G31</f>
        <v>0</v>
      </c>
      <c r="G51" s="103">
        <f>+Fondy!H31</f>
        <v>0</v>
      </c>
      <c r="H51" s="240" t="s">
        <v>60</v>
      </c>
      <c r="I51" s="932"/>
    </row>
    <row r="52" spans="1:13" ht="20.100000000000001" customHeight="1" x14ac:dyDescent="0.2">
      <c r="A52" s="232" t="s">
        <v>52</v>
      </c>
      <c r="B52" s="233">
        <v>10000</v>
      </c>
      <c r="C52" s="234">
        <v>86.74</v>
      </c>
      <c r="D52" s="233">
        <v>10000</v>
      </c>
      <c r="E52" s="235">
        <v>12577.73</v>
      </c>
      <c r="F52" s="234">
        <v>0</v>
      </c>
      <c r="G52" s="103">
        <v>10000</v>
      </c>
      <c r="H52" s="240">
        <f t="shared" ref="H52:H72" si="4">G52/D52*100</f>
        <v>100</v>
      </c>
      <c r="I52" s="932"/>
    </row>
    <row r="53" spans="1:13" ht="20.100000000000001" customHeight="1" x14ac:dyDescent="0.2">
      <c r="A53" s="232" t="s">
        <v>249</v>
      </c>
      <c r="B53" s="233">
        <v>20000</v>
      </c>
      <c r="C53" s="234">
        <v>2718.26</v>
      </c>
      <c r="D53" s="233">
        <v>20000</v>
      </c>
      <c r="E53" s="235">
        <v>58136.2</v>
      </c>
      <c r="F53" s="234">
        <v>0</v>
      </c>
      <c r="G53" s="103">
        <v>20000</v>
      </c>
      <c r="H53" s="240">
        <f t="shared" si="4"/>
        <v>100</v>
      </c>
      <c r="I53" s="932"/>
    </row>
    <row r="54" spans="1:13" s="695" customFormat="1" ht="29.85" customHeight="1" x14ac:dyDescent="0.2">
      <c r="A54" s="232" t="s">
        <v>250</v>
      </c>
      <c r="B54" s="233">
        <v>0</v>
      </c>
      <c r="C54" s="752">
        <v>29618.560000000001</v>
      </c>
      <c r="D54" s="233">
        <v>0</v>
      </c>
      <c r="E54" s="235">
        <v>613.24</v>
      </c>
      <c r="F54" s="234">
        <v>567.49</v>
      </c>
      <c r="G54" s="103">
        <v>0</v>
      </c>
      <c r="H54" s="240" t="s">
        <v>60</v>
      </c>
      <c r="I54" s="932"/>
    </row>
    <row r="55" spans="1:13" s="695" customFormat="1" ht="20.100000000000001" customHeight="1" x14ac:dyDescent="0.2">
      <c r="A55" s="232" t="s">
        <v>341</v>
      </c>
      <c r="B55" s="233">
        <v>40000</v>
      </c>
      <c r="C55" s="753">
        <f>+'Kapitálové výdaje '!D29</f>
        <v>402688.89</v>
      </c>
      <c r="D55" s="233">
        <f>+'Kapitálové výdaje '!E29</f>
        <v>40000</v>
      </c>
      <c r="E55" s="235">
        <f>+'Kapitálové výdaje '!F29</f>
        <v>283108.55</v>
      </c>
      <c r="F55" s="234">
        <f>+'Kapitálové výdaje '!G29</f>
        <v>202790.05</v>
      </c>
      <c r="G55" s="103">
        <f>+'Kapitálové výdaje v kapitolách'!D11</f>
        <v>40000</v>
      </c>
      <c r="H55" s="240">
        <f t="shared" si="4"/>
        <v>100</v>
      </c>
      <c r="I55" s="932"/>
    </row>
    <row r="56" spans="1:13" s="696" customFormat="1" ht="30" x14ac:dyDescent="0.2">
      <c r="A56" s="232" t="s">
        <v>352</v>
      </c>
      <c r="B56" s="233">
        <v>600000</v>
      </c>
      <c r="C56" s="753">
        <f>+'Kapitálové výdaje '!D30</f>
        <v>813455.77</v>
      </c>
      <c r="D56" s="233">
        <f>+'Kapitálové výdaje '!E30</f>
        <v>925000</v>
      </c>
      <c r="E56" s="235">
        <f>+'Kapitálové výdaje '!F30</f>
        <v>2242818.77</v>
      </c>
      <c r="F56" s="234">
        <f>+'Kapitálové výdaje '!G30</f>
        <v>843594.1</v>
      </c>
      <c r="G56" s="103">
        <v>1170000</v>
      </c>
      <c r="H56" s="240">
        <f t="shared" si="4"/>
        <v>126.48648648648648</v>
      </c>
      <c r="I56" s="932"/>
    </row>
    <row r="57" spans="1:13" s="695" customFormat="1" ht="29.85" customHeight="1" x14ac:dyDescent="0.2">
      <c r="A57" s="916" t="s">
        <v>270</v>
      </c>
      <c r="B57" s="917">
        <v>1296000</v>
      </c>
      <c r="C57" s="918">
        <v>787360.46</v>
      </c>
      <c r="D57" s="917">
        <f>+'Kapitálové výdaje '!E31</f>
        <v>951491</v>
      </c>
      <c r="E57" s="919">
        <f>+'Kapitálové výdaje '!F31</f>
        <v>960012.28</v>
      </c>
      <c r="F57" s="919">
        <f>+'Kapitálové výdaje '!G31</f>
        <v>627065.44999999995</v>
      </c>
      <c r="G57" s="911">
        <f>+'Kapitálové výdaje '!H31</f>
        <v>157390</v>
      </c>
      <c r="H57" s="240">
        <f t="shared" si="4"/>
        <v>16.541407117881306</v>
      </c>
      <c r="I57" s="883"/>
    </row>
    <row r="58" spans="1:13" ht="30" customHeight="1" x14ac:dyDescent="0.2">
      <c r="A58" s="763" t="s">
        <v>369</v>
      </c>
      <c r="B58" s="648">
        <v>497240</v>
      </c>
      <c r="C58" s="754">
        <v>1293946.72</v>
      </c>
      <c r="D58" s="648">
        <v>0</v>
      </c>
      <c r="E58" s="650">
        <v>660538.49</v>
      </c>
      <c r="F58" s="649">
        <v>437975.85</v>
      </c>
      <c r="G58" s="572">
        <v>0</v>
      </c>
      <c r="H58" s="240" t="s">
        <v>60</v>
      </c>
      <c r="I58" s="932"/>
    </row>
    <row r="59" spans="1:13" ht="30" customHeight="1" x14ac:dyDescent="0.2">
      <c r="A59" s="765" t="s">
        <v>321</v>
      </c>
      <c r="B59" s="651">
        <v>349860</v>
      </c>
      <c r="C59" s="652">
        <v>627677.05000000005</v>
      </c>
      <c r="D59" s="651">
        <v>50420</v>
      </c>
      <c r="E59" s="653">
        <v>139607.62</v>
      </c>
      <c r="F59" s="652">
        <v>24900.1</v>
      </c>
      <c r="G59" s="576">
        <v>0</v>
      </c>
      <c r="H59" s="240">
        <f t="shared" si="4"/>
        <v>0</v>
      </c>
      <c r="I59" s="932"/>
    </row>
    <row r="60" spans="1:13" ht="30" customHeight="1" x14ac:dyDescent="0.2">
      <c r="A60" s="763" t="s">
        <v>370</v>
      </c>
      <c r="B60" s="648">
        <v>1296824</v>
      </c>
      <c r="C60" s="649">
        <v>798491.49</v>
      </c>
      <c r="D60" s="648">
        <v>966791</v>
      </c>
      <c r="E60" s="650">
        <v>2054169.66</v>
      </c>
      <c r="F60" s="649">
        <v>555310.62</v>
      </c>
      <c r="G60" s="572">
        <f>+'Projekty EU a NZ'!D24+'Projekty EU a NZ'!D45</f>
        <v>1137400</v>
      </c>
      <c r="H60" s="240">
        <f t="shared" si="4"/>
        <v>117.64693713532708</v>
      </c>
      <c r="I60" s="215"/>
      <c r="L60" s="324"/>
    </row>
    <row r="61" spans="1:13" ht="30" customHeight="1" x14ac:dyDescent="0.2">
      <c r="A61" s="765" t="s">
        <v>322</v>
      </c>
      <c r="B61" s="651">
        <v>1097422</v>
      </c>
      <c r="C61" s="652">
        <v>143125.32999999999</v>
      </c>
      <c r="D61" s="651">
        <v>761474</v>
      </c>
      <c r="E61" s="653">
        <v>1170534.98</v>
      </c>
      <c r="F61" s="652">
        <v>109558.64</v>
      </c>
      <c r="G61" s="576">
        <f>+'Projekty EU a NZ'!B45+'Projekty EU a NZ'!C45+'Projekty EU a NZ'!B24+'Projekty EU a NZ'!C24+'Projekty EU a NZ'!G24+'Projekty EU a NZ'!G45</f>
        <v>1142000</v>
      </c>
      <c r="H61" s="240">
        <f t="shared" si="4"/>
        <v>149.9722905837888</v>
      </c>
      <c r="L61" s="325"/>
      <c r="M61" s="325"/>
    </row>
    <row r="62" spans="1:13" ht="30" customHeight="1" x14ac:dyDescent="0.2">
      <c r="A62" s="916" t="s">
        <v>326</v>
      </c>
      <c r="B62" s="917">
        <v>283703</v>
      </c>
      <c r="C62" s="920">
        <v>2190.08</v>
      </c>
      <c r="D62" s="917">
        <v>54535</v>
      </c>
      <c r="E62" s="919">
        <v>54535</v>
      </c>
      <c r="F62" s="919">
        <v>219.36</v>
      </c>
      <c r="G62" s="911">
        <f>+'Projekty EU a NZ'!F24+'Projekty EU a NZ'!F45</f>
        <v>151038</v>
      </c>
      <c r="H62" s="240">
        <f t="shared" si="4"/>
        <v>276.95608324928946</v>
      </c>
      <c r="L62" s="325"/>
    </row>
    <row r="63" spans="1:13" ht="20.100000000000001" customHeight="1" x14ac:dyDescent="0.2">
      <c r="A63" s="763" t="s">
        <v>428</v>
      </c>
      <c r="B63" s="648">
        <v>214228</v>
      </c>
      <c r="C63" s="649">
        <v>27616.23</v>
      </c>
      <c r="D63" s="648">
        <v>78063</v>
      </c>
      <c r="E63" s="650">
        <v>86758.68</v>
      </c>
      <c r="F63" s="649">
        <v>19453.61</v>
      </c>
      <c r="G63" s="572">
        <f>+'Projekty EU a NZ'!D65</f>
        <v>168600</v>
      </c>
      <c r="H63" s="240">
        <f t="shared" si="4"/>
        <v>215.97940125283426</v>
      </c>
      <c r="I63" s="215"/>
    </row>
    <row r="64" spans="1:13" ht="30.75" customHeight="1" x14ac:dyDescent="0.2">
      <c r="A64" s="765" t="s">
        <v>320</v>
      </c>
      <c r="B64" s="651">
        <v>342215</v>
      </c>
      <c r="C64" s="652">
        <v>75838.52</v>
      </c>
      <c r="D64" s="651">
        <v>213333</v>
      </c>
      <c r="E64" s="653">
        <v>251831.08</v>
      </c>
      <c r="F64" s="652">
        <v>63893.66</v>
      </c>
      <c r="G64" s="576">
        <f>+'Projekty EU a NZ'!B65+'Projekty EU a NZ'!C65+'Projekty EU a NZ'!G65</f>
        <v>302700</v>
      </c>
      <c r="H64" s="240">
        <f t="shared" si="4"/>
        <v>141.89084670444799</v>
      </c>
    </row>
    <row r="65" spans="1:10" ht="20.100000000000001" customHeight="1" x14ac:dyDescent="0.2">
      <c r="A65" s="232" t="s">
        <v>373</v>
      </c>
      <c r="B65" s="233">
        <v>47298.3</v>
      </c>
      <c r="C65" s="234">
        <v>0</v>
      </c>
      <c r="D65" s="233">
        <v>126600.8</v>
      </c>
      <c r="E65" s="235">
        <v>231132.27</v>
      </c>
      <c r="F65" s="234">
        <v>0</v>
      </c>
      <c r="G65" s="103">
        <v>129695.7</v>
      </c>
      <c r="H65" s="240">
        <f t="shared" si="4"/>
        <v>102.44461330418133</v>
      </c>
      <c r="I65" s="932"/>
      <c r="J65" s="325"/>
    </row>
    <row r="66" spans="1:10" s="34" customFormat="1" ht="20.100000000000001" customHeight="1" x14ac:dyDescent="0.2">
      <c r="A66" s="232" t="s">
        <v>251</v>
      </c>
      <c r="B66" s="233">
        <v>0</v>
      </c>
      <c r="C66" s="234">
        <v>0</v>
      </c>
      <c r="D66" s="233">
        <v>0</v>
      </c>
      <c r="E66" s="235">
        <v>39065.11</v>
      </c>
      <c r="F66" s="234">
        <v>0</v>
      </c>
      <c r="G66" s="103">
        <v>0</v>
      </c>
      <c r="H66" s="240" t="s">
        <v>60</v>
      </c>
      <c r="I66" s="932"/>
    </row>
    <row r="67" spans="1:10" ht="20.100000000000001" customHeight="1" x14ac:dyDescent="0.2">
      <c r="A67" s="232" t="s">
        <v>252</v>
      </c>
      <c r="B67" s="233">
        <v>1204000</v>
      </c>
      <c r="C67" s="234">
        <v>0</v>
      </c>
      <c r="D67" s="233">
        <v>369294</v>
      </c>
      <c r="E67" s="235">
        <v>1010165.09</v>
      </c>
      <c r="F67" s="234">
        <v>0</v>
      </c>
      <c r="G67" s="103">
        <f>+'Specifické rezervy'!D16</f>
        <v>412759</v>
      </c>
      <c r="H67" s="240">
        <f t="shared" si="4"/>
        <v>111.7697552627446</v>
      </c>
      <c r="I67" s="932"/>
    </row>
    <row r="68" spans="1:10" ht="20.100000000000001" customHeight="1" x14ac:dyDescent="0.2">
      <c r="A68" s="232" t="s">
        <v>336</v>
      </c>
      <c r="B68" s="233">
        <v>263030</v>
      </c>
      <c r="C68" s="234">
        <v>170578.18</v>
      </c>
      <c r="D68" s="233">
        <f>+'Dluhová služba '!G26</f>
        <v>238874</v>
      </c>
      <c r="E68" s="235">
        <f>+'Dluhová služba '!H26</f>
        <v>331325.82</v>
      </c>
      <c r="F68" s="235">
        <f>+'Dluhová služba '!I26</f>
        <v>101935.98</v>
      </c>
      <c r="G68" s="103">
        <f>+'Dluhová služba '!J26</f>
        <v>159323</v>
      </c>
      <c r="H68" s="240">
        <f t="shared" si="4"/>
        <v>66.697505798035778</v>
      </c>
      <c r="I68" s="932"/>
    </row>
    <row r="69" spans="1:10" ht="20.100000000000001" customHeight="1" x14ac:dyDescent="0.2">
      <c r="A69" s="232" t="s">
        <v>337</v>
      </c>
      <c r="B69" s="233">
        <v>191208</v>
      </c>
      <c r="C69" s="234">
        <f>+'Dluhová služba '!F37</f>
        <v>192038.76</v>
      </c>
      <c r="D69" s="233">
        <f>+'Dluhová služba '!G37</f>
        <v>191105</v>
      </c>
      <c r="E69" s="235">
        <f>+'Dluhová služba '!H37</f>
        <v>191105</v>
      </c>
      <c r="F69" s="235">
        <f>+'Dluhová služba '!I37</f>
        <v>143082.25</v>
      </c>
      <c r="G69" s="103">
        <f>+'Dluhová služba '!J37</f>
        <v>120546</v>
      </c>
      <c r="H69" s="240">
        <f t="shared" si="4"/>
        <v>63.078412391093899</v>
      </c>
      <c r="I69" s="932"/>
    </row>
    <row r="70" spans="1:10" ht="20.100000000000001" customHeight="1" x14ac:dyDescent="0.2">
      <c r="A70" s="232" t="s">
        <v>53</v>
      </c>
      <c r="B70" s="233">
        <v>26225000</v>
      </c>
      <c r="C70" s="234">
        <f>23714077.48+1564426.62</f>
        <v>25278504.100000001</v>
      </c>
      <c r="D70" s="233">
        <f>+D26</f>
        <v>27760000</v>
      </c>
      <c r="E70" s="235">
        <v>26661991.379999999</v>
      </c>
      <c r="F70" s="234">
        <v>17431319.640000001</v>
      </c>
      <c r="G70" s="103">
        <f>+G26</f>
        <v>29816000</v>
      </c>
      <c r="H70" s="240">
        <f t="shared" si="4"/>
        <v>107.4063400576369</v>
      </c>
      <c r="I70" s="932"/>
    </row>
    <row r="71" spans="1:10" ht="20.100000000000001" customHeight="1" x14ac:dyDescent="0.2">
      <c r="A71" s="232" t="s">
        <v>471</v>
      </c>
      <c r="B71" s="233">
        <v>0</v>
      </c>
      <c r="C71" s="234">
        <v>558431.76</v>
      </c>
      <c r="D71" s="233">
        <f>+D27</f>
        <v>642754</v>
      </c>
      <c r="E71" s="235">
        <v>642754.94999999995</v>
      </c>
      <c r="F71" s="234">
        <v>482046.97</v>
      </c>
      <c r="G71" s="103">
        <f>+G27</f>
        <v>711529</v>
      </c>
      <c r="H71" s="240">
        <f t="shared" si="4"/>
        <v>110.70005009692667</v>
      </c>
      <c r="I71" s="932"/>
    </row>
    <row r="72" spans="1:10" ht="20.100000000000001" customHeight="1" x14ac:dyDescent="0.2">
      <c r="A72" s="232" t="s">
        <v>499</v>
      </c>
      <c r="B72" s="233">
        <v>0</v>
      </c>
      <c r="C72" s="234">
        <f>2709236.37+2256.33+8706.44</f>
        <v>2720199.14</v>
      </c>
      <c r="D72" s="233">
        <f>+D28</f>
        <v>2741336</v>
      </c>
      <c r="E72" s="235">
        <f>2700+2731636+10500</f>
        <v>2744836</v>
      </c>
      <c r="F72" s="234">
        <f>2664915.3+7879.86</f>
        <v>2672795.1599999997</v>
      </c>
      <c r="G72" s="103">
        <f>+G28</f>
        <v>2842800</v>
      </c>
      <c r="H72" s="240">
        <f t="shared" si="4"/>
        <v>103.70126099099126</v>
      </c>
      <c r="I72" s="932"/>
    </row>
    <row r="73" spans="1:10" s="101" customFormat="1" ht="20.100000000000001" customHeight="1" x14ac:dyDescent="0.2">
      <c r="A73" s="232" t="s">
        <v>64</v>
      </c>
      <c r="B73" s="233">
        <v>0</v>
      </c>
      <c r="C73" s="234">
        <f>31963534.33-C70-C71-C72</f>
        <v>3406399.3299999968</v>
      </c>
      <c r="D73" s="233">
        <v>0</v>
      </c>
      <c r="E73" s="235">
        <f>32293608.38-SUM(E70:E72)</f>
        <v>2244026.0500000007</v>
      </c>
      <c r="F73" s="235">
        <f>22114453.25-SUM(F70:F72)</f>
        <v>1528291.4800000004</v>
      </c>
      <c r="G73" s="103">
        <v>0</v>
      </c>
      <c r="H73" s="240" t="s">
        <v>60</v>
      </c>
      <c r="I73" s="34"/>
    </row>
    <row r="74" spans="1:10" s="34" customFormat="1" ht="20.100000000000001" customHeight="1" x14ac:dyDescent="0.2">
      <c r="A74" s="232" t="s">
        <v>65</v>
      </c>
      <c r="B74" s="233">
        <v>0</v>
      </c>
      <c r="C74" s="234">
        <v>432070.82</v>
      </c>
      <c r="D74" s="233">
        <v>0</v>
      </c>
      <c r="E74" s="235">
        <v>511315.14</v>
      </c>
      <c r="F74" s="234">
        <v>511315.14</v>
      </c>
      <c r="G74" s="103">
        <v>0</v>
      </c>
      <c r="H74" s="240" t="s">
        <v>60</v>
      </c>
    </row>
    <row r="75" spans="1:10" s="101" customFormat="1" ht="20.100000000000001" customHeight="1" thickBot="1" x14ac:dyDescent="0.25">
      <c r="A75" s="363" t="s">
        <v>432</v>
      </c>
      <c r="B75" s="364">
        <v>0</v>
      </c>
      <c r="C75" s="365">
        <v>0</v>
      </c>
      <c r="D75" s="364">
        <v>0</v>
      </c>
      <c r="E75" s="366">
        <v>0</v>
      </c>
      <c r="F75" s="365">
        <v>-15873.55</v>
      </c>
      <c r="G75" s="367">
        <v>0</v>
      </c>
      <c r="H75" s="240" t="s">
        <v>60</v>
      </c>
      <c r="I75" s="34"/>
    </row>
    <row r="76" spans="1:10" ht="20.25" customHeight="1" thickBot="1" x14ac:dyDescent="0.25">
      <c r="A76" s="630" t="s">
        <v>14</v>
      </c>
      <c r="B76" s="631">
        <f t="shared" ref="B76:G76" si="5">SUM(B49:B75)</f>
        <v>45066560.299999997</v>
      </c>
      <c r="C76" s="632">
        <f t="shared" si="5"/>
        <v>49786512.840000004</v>
      </c>
      <c r="D76" s="631">
        <f t="shared" si="5"/>
        <v>49503478.799999997</v>
      </c>
      <c r="E76" s="633">
        <f t="shared" si="5"/>
        <v>57475933.790999994</v>
      </c>
      <c r="F76" s="632">
        <f t="shared" si="5"/>
        <v>36174004.958000004</v>
      </c>
      <c r="G76" s="146">
        <f t="shared" si="5"/>
        <v>52326426.700000003</v>
      </c>
      <c r="H76" s="634">
        <f>G76/D76*100</f>
        <v>105.70252428401052</v>
      </c>
    </row>
    <row r="77" spans="1:10" ht="7.5" customHeight="1" thickBot="1" x14ac:dyDescent="0.25">
      <c r="B77" s="33"/>
      <c r="C77" s="33"/>
      <c r="D77" s="33"/>
      <c r="E77" s="33"/>
      <c r="F77" s="33"/>
      <c r="G77" s="33"/>
      <c r="H77" s="175"/>
    </row>
    <row r="78" spans="1:10" s="593" customFormat="1" ht="15.75" x14ac:dyDescent="0.2">
      <c r="A78" s="1215" t="s">
        <v>15</v>
      </c>
      <c r="B78" s="1216"/>
      <c r="C78" s="1216"/>
      <c r="D78" s="1216"/>
      <c r="E78" s="1216"/>
      <c r="F78" s="1216"/>
      <c r="G78" s="1216"/>
      <c r="H78" s="1217"/>
      <c r="I78" s="592"/>
    </row>
    <row r="79" spans="1:10" s="593" customFormat="1" ht="30" customHeight="1" x14ac:dyDescent="0.2">
      <c r="A79" s="232" t="s">
        <v>330</v>
      </c>
      <c r="B79" s="233">
        <v>239487</v>
      </c>
      <c r="C79" s="234">
        <v>239486.82</v>
      </c>
      <c r="D79" s="233">
        <v>239487</v>
      </c>
      <c r="E79" s="235">
        <v>239487</v>
      </c>
      <c r="F79" s="234">
        <v>179615.11</v>
      </c>
      <c r="G79" s="103">
        <f>+'Dluhová služba '!J10</f>
        <v>239487</v>
      </c>
      <c r="H79" s="241">
        <f>G79/D79*100</f>
        <v>100</v>
      </c>
      <c r="I79" s="592"/>
    </row>
    <row r="80" spans="1:10" s="593" customFormat="1" ht="30" customHeight="1" x14ac:dyDescent="0.2">
      <c r="A80" s="236" t="s">
        <v>331</v>
      </c>
      <c r="B80" s="237">
        <v>78140</v>
      </c>
      <c r="C80" s="238">
        <v>78140</v>
      </c>
      <c r="D80" s="237">
        <v>39070</v>
      </c>
      <c r="E80" s="239">
        <v>39070</v>
      </c>
      <c r="F80" s="238">
        <v>39070</v>
      </c>
      <c r="G80" s="104">
        <f>+'Dluhová služba '!J13</f>
        <v>0</v>
      </c>
      <c r="H80" s="241">
        <f t="shared" ref="H80:H81" si="6">G80/D80*100</f>
        <v>0</v>
      </c>
      <c r="I80" s="592"/>
    </row>
    <row r="81" spans="1:9" s="593" customFormat="1" ht="30" customHeight="1" x14ac:dyDescent="0.2">
      <c r="A81" s="236" t="s">
        <v>493</v>
      </c>
      <c r="B81" s="237">
        <v>0</v>
      </c>
      <c r="C81" s="238">
        <v>0</v>
      </c>
      <c r="D81" s="237">
        <v>8031</v>
      </c>
      <c r="E81" s="239">
        <v>8031</v>
      </c>
      <c r="F81" s="238">
        <v>0</v>
      </c>
      <c r="G81" s="104">
        <f>+'Dluhová služba '!J16</f>
        <v>35292</v>
      </c>
      <c r="H81" s="241">
        <f t="shared" si="6"/>
        <v>439.44714232349645</v>
      </c>
      <c r="I81" s="592"/>
    </row>
    <row r="82" spans="1:9" s="593" customFormat="1" ht="20.100000000000001" customHeight="1" x14ac:dyDescent="0.2">
      <c r="A82" s="236" t="s">
        <v>404</v>
      </c>
      <c r="B82" s="237">
        <v>0</v>
      </c>
      <c r="C82" s="238">
        <v>0</v>
      </c>
      <c r="D82" s="237">
        <v>0</v>
      </c>
      <c r="E82" s="239">
        <v>0</v>
      </c>
      <c r="F82" s="238">
        <v>2200000</v>
      </c>
      <c r="G82" s="104">
        <v>0</v>
      </c>
      <c r="H82" s="241" t="s">
        <v>60</v>
      </c>
      <c r="I82" s="592"/>
    </row>
    <row r="83" spans="1:9" s="588" customFormat="1" ht="20.25" customHeight="1" thickBot="1" x14ac:dyDescent="0.25">
      <c r="A83" s="236" t="s">
        <v>227</v>
      </c>
      <c r="B83" s="237">
        <v>0</v>
      </c>
      <c r="C83" s="238">
        <v>0</v>
      </c>
      <c r="D83" s="237">
        <v>0</v>
      </c>
      <c r="E83" s="239">
        <v>0</v>
      </c>
      <c r="F83" s="238">
        <v>55211.67</v>
      </c>
      <c r="G83" s="104">
        <v>0</v>
      </c>
      <c r="H83" s="241" t="s">
        <v>60</v>
      </c>
      <c r="I83" s="34"/>
    </row>
    <row r="84" spans="1:9" ht="20.25" customHeight="1" thickBot="1" x14ac:dyDescent="0.25">
      <c r="A84" s="208" t="s">
        <v>14</v>
      </c>
      <c r="B84" s="209">
        <f t="shared" ref="B84:G84" si="7">SUM(B76:B83)</f>
        <v>45384187.299999997</v>
      </c>
      <c r="C84" s="210">
        <f t="shared" si="7"/>
        <v>50104139.660000004</v>
      </c>
      <c r="D84" s="209">
        <f t="shared" si="7"/>
        <v>49790066.799999997</v>
      </c>
      <c r="E84" s="211">
        <f t="shared" si="7"/>
        <v>57762521.790999994</v>
      </c>
      <c r="F84" s="210">
        <f t="shared" si="7"/>
        <v>38647901.738000005</v>
      </c>
      <c r="G84" s="146">
        <f t="shared" si="7"/>
        <v>52601205.700000003</v>
      </c>
      <c r="H84" s="921">
        <f>G84/D84*100</f>
        <v>105.64598338719242</v>
      </c>
    </row>
    <row r="85" spans="1:9" s="593" customFormat="1" ht="9.9499999999999993" customHeight="1" thickBot="1" x14ac:dyDescent="0.25">
      <c r="A85" s="174"/>
      <c r="B85" s="33"/>
      <c r="C85" s="33"/>
      <c r="D85" s="33"/>
      <c r="E85" s="33"/>
      <c r="F85" s="33"/>
      <c r="G85" s="33"/>
      <c r="H85" s="175"/>
      <c r="I85" s="592"/>
    </row>
    <row r="86" spans="1:9" s="593" customFormat="1" ht="30" customHeight="1" thickBot="1" x14ac:dyDescent="0.25">
      <c r="A86" s="208" t="s">
        <v>17</v>
      </c>
      <c r="B86" s="209">
        <f t="shared" ref="B86:G86" si="8">B46-B84</f>
        <v>0</v>
      </c>
      <c r="C86" s="210">
        <f t="shared" si="8"/>
        <v>0</v>
      </c>
      <c r="D86" s="209">
        <f t="shared" si="8"/>
        <v>0</v>
      </c>
      <c r="E86" s="211">
        <f t="shared" si="8"/>
        <v>-9.9998712539672852E-4</v>
      </c>
      <c r="F86" s="211">
        <f t="shared" si="8"/>
        <v>1.9999891519546509E-3</v>
      </c>
      <c r="G86" s="146">
        <f t="shared" si="8"/>
        <v>0</v>
      </c>
      <c r="H86" s="212" t="s">
        <v>60</v>
      </c>
      <c r="I86" s="592"/>
    </row>
    <row r="87" spans="1:9" s="593" customFormat="1" ht="18" customHeight="1" x14ac:dyDescent="0.2">
      <c r="A87" s="697"/>
      <c r="B87" s="589"/>
      <c r="C87" s="589"/>
      <c r="D87" s="33"/>
      <c r="E87" s="589"/>
      <c r="F87" s="589"/>
      <c r="G87" s="215"/>
      <c r="H87" s="698"/>
      <c r="I87" s="592"/>
    </row>
    <row r="88" spans="1:9" s="588" customFormat="1" ht="20.25" customHeight="1" x14ac:dyDescent="0.2">
      <c r="A88" s="174"/>
      <c r="B88" s="589"/>
      <c r="C88" s="589"/>
      <c r="D88" s="589"/>
      <c r="E88" s="589"/>
      <c r="F88" s="589"/>
      <c r="G88" s="215"/>
      <c r="H88" s="698"/>
      <c r="I88" s="34"/>
    </row>
    <row r="89" spans="1:9" s="593" customFormat="1" ht="20.25" customHeight="1" thickBot="1" x14ac:dyDescent="0.25">
      <c r="A89" s="101" t="s">
        <v>435</v>
      </c>
      <c r="B89" s="589"/>
      <c r="C89" s="589"/>
      <c r="D89" s="589"/>
      <c r="E89" s="589"/>
      <c r="F89" s="589"/>
      <c r="H89" s="175" t="s">
        <v>0</v>
      </c>
      <c r="I89" s="592"/>
    </row>
    <row r="90" spans="1:9" s="593" customFormat="1" ht="15" customHeight="1" x14ac:dyDescent="0.2">
      <c r="A90" s="1213" t="s">
        <v>1</v>
      </c>
      <c r="B90" s="1198" t="s">
        <v>365</v>
      </c>
      <c r="C90" s="1199"/>
      <c r="D90" s="1198" t="s">
        <v>440</v>
      </c>
      <c r="E90" s="1202"/>
      <c r="F90" s="1199"/>
      <c r="G90" s="1203" t="s">
        <v>507</v>
      </c>
      <c r="H90" s="1205" t="s">
        <v>509</v>
      </c>
      <c r="I90" s="592"/>
    </row>
    <row r="91" spans="1:9" s="593" customFormat="1" ht="30" customHeight="1" thickBot="1" x14ac:dyDescent="0.25">
      <c r="A91" s="1214"/>
      <c r="B91" s="177" t="s">
        <v>109</v>
      </c>
      <c r="C91" s="266" t="s">
        <v>126</v>
      </c>
      <c r="D91" s="264" t="s">
        <v>109</v>
      </c>
      <c r="E91" s="265" t="s">
        <v>589</v>
      </c>
      <c r="F91" s="266" t="s">
        <v>595</v>
      </c>
      <c r="G91" s="1204"/>
      <c r="H91" s="1206"/>
      <c r="I91" s="592"/>
    </row>
    <row r="92" spans="1:9" s="593" customFormat="1" ht="20.100000000000001" customHeight="1" x14ac:dyDescent="0.2">
      <c r="A92" s="1210" t="s">
        <v>400</v>
      </c>
      <c r="B92" s="1211"/>
      <c r="C92" s="1211"/>
      <c r="D92" s="1211"/>
      <c r="E92" s="1211"/>
      <c r="F92" s="1211"/>
      <c r="G92" s="1211"/>
      <c r="H92" s="1212"/>
      <c r="I92" s="592"/>
    </row>
    <row r="93" spans="1:9" s="593" customFormat="1" ht="20.100000000000001" customHeight="1" x14ac:dyDescent="0.2">
      <c r="A93" s="216" t="s">
        <v>3</v>
      </c>
      <c r="B93" s="217">
        <v>0</v>
      </c>
      <c r="C93" s="887">
        <v>0</v>
      </c>
      <c r="D93" s="217">
        <v>0</v>
      </c>
      <c r="E93" s="219">
        <v>0</v>
      </c>
      <c r="F93" s="218">
        <v>0</v>
      </c>
      <c r="G93" s="103">
        <v>0</v>
      </c>
      <c r="H93" s="224" t="s">
        <v>60</v>
      </c>
      <c r="I93" s="592"/>
    </row>
    <row r="94" spans="1:9" s="593" customFormat="1" ht="19.149999999999999" customHeight="1" x14ac:dyDescent="0.2">
      <c r="A94" s="216" t="s">
        <v>559</v>
      </c>
      <c r="B94" s="217">
        <f t="shared" ref="B94:G94" si="9">+B18</f>
        <v>1530624</v>
      </c>
      <c r="C94" s="218">
        <f t="shared" si="9"/>
        <v>487732.09</v>
      </c>
      <c r="D94" s="217">
        <f t="shared" si="9"/>
        <v>0</v>
      </c>
      <c r="E94" s="219">
        <f t="shared" si="9"/>
        <v>285450.99</v>
      </c>
      <c r="F94" s="218">
        <f t="shared" si="9"/>
        <v>335987.42</v>
      </c>
      <c r="G94" s="103">
        <f t="shared" si="9"/>
        <v>497700</v>
      </c>
      <c r="H94" s="224" t="s">
        <v>60</v>
      </c>
      <c r="I94" s="592"/>
    </row>
    <row r="95" spans="1:9" s="593" customFormat="1" ht="20.100000000000001" customHeight="1" x14ac:dyDescent="0.2">
      <c r="A95" s="216" t="s">
        <v>557</v>
      </c>
      <c r="B95" s="217">
        <v>0</v>
      </c>
      <c r="C95" s="887">
        <f>C24</f>
        <v>1636412.95</v>
      </c>
      <c r="D95" s="217">
        <f>+D24</f>
        <v>641609</v>
      </c>
      <c r="E95" s="219">
        <f>+E24</f>
        <v>921966.88</v>
      </c>
      <c r="F95" s="218">
        <f>+F24</f>
        <v>729944.17</v>
      </c>
      <c r="G95" s="103">
        <f>+G24</f>
        <v>350600</v>
      </c>
      <c r="H95" s="224">
        <f>+H24</f>
        <v>54.643871890824471</v>
      </c>
      <c r="I95" s="592"/>
    </row>
    <row r="96" spans="1:9" s="593" customFormat="1" ht="20.100000000000001" customHeight="1" x14ac:dyDescent="0.2">
      <c r="A96" s="216" t="s">
        <v>560</v>
      </c>
      <c r="B96" s="217">
        <f>+B19</f>
        <v>92196</v>
      </c>
      <c r="C96" s="887">
        <f>C19</f>
        <v>8334.9699999999993</v>
      </c>
      <c r="D96" s="217">
        <f>+D19</f>
        <v>0</v>
      </c>
      <c r="E96" s="219">
        <f>+E19</f>
        <v>6293</v>
      </c>
      <c r="F96" s="218">
        <f>+F19</f>
        <v>6293</v>
      </c>
      <c r="G96" s="103">
        <f>+G19</f>
        <v>7700</v>
      </c>
      <c r="H96" s="224" t="s">
        <v>60</v>
      </c>
      <c r="I96" s="592"/>
    </row>
    <row r="97" spans="1:9" s="593" customFormat="1" ht="30" customHeight="1" x14ac:dyDescent="0.2">
      <c r="A97" s="216" t="s">
        <v>558</v>
      </c>
      <c r="B97" s="217">
        <v>0</v>
      </c>
      <c r="C97" s="887">
        <f>+C25</f>
        <v>10165.780000000001</v>
      </c>
      <c r="D97" s="217">
        <f>+D25</f>
        <v>26223</v>
      </c>
      <c r="E97" s="219">
        <f>+E25</f>
        <v>23308.97</v>
      </c>
      <c r="F97" s="218">
        <f>+F25</f>
        <v>7542.87</v>
      </c>
      <c r="G97" s="103">
        <f>+G25</f>
        <v>6000</v>
      </c>
      <c r="H97" s="224">
        <f>+H26</f>
        <v>107.4063400576369</v>
      </c>
      <c r="I97" s="592"/>
    </row>
    <row r="98" spans="1:9" s="593" customFormat="1" ht="20.100000000000001" customHeight="1" x14ac:dyDescent="0.2">
      <c r="A98" s="216" t="s">
        <v>94</v>
      </c>
      <c r="B98" s="217">
        <v>0</v>
      </c>
      <c r="C98" s="887">
        <v>1112199.8600000001</v>
      </c>
      <c r="D98" s="217">
        <v>0</v>
      </c>
      <c r="E98" s="219">
        <v>1164162.6299999999</v>
      </c>
      <c r="F98" s="218">
        <v>1164162.6299999999</v>
      </c>
      <c r="G98" s="103">
        <v>0</v>
      </c>
      <c r="H98" s="224" t="s">
        <v>60</v>
      </c>
      <c r="I98" s="592"/>
    </row>
    <row r="99" spans="1:9" s="593" customFormat="1" ht="30" customHeight="1" x14ac:dyDescent="0.2">
      <c r="A99" s="216" t="s">
        <v>327</v>
      </c>
      <c r="B99" s="217">
        <f>+B42</f>
        <v>385472</v>
      </c>
      <c r="C99" s="887">
        <f>+C42</f>
        <v>0</v>
      </c>
      <c r="D99" s="217">
        <f>+D42</f>
        <v>377022</v>
      </c>
      <c r="E99" s="219">
        <f>+E42</f>
        <v>377022</v>
      </c>
      <c r="F99" s="218">
        <f>+F42</f>
        <v>0</v>
      </c>
      <c r="G99" s="103">
        <v>444000</v>
      </c>
      <c r="H99" s="224">
        <f t="shared" ref="H99:H101" si="10">G99/D99*100</f>
        <v>117.76501106036253</v>
      </c>
      <c r="I99" s="592"/>
    </row>
    <row r="100" spans="1:9" s="593" customFormat="1" ht="20.100000000000001" customHeight="1" thickBot="1" x14ac:dyDescent="0.25">
      <c r="A100" s="749" t="s">
        <v>368</v>
      </c>
      <c r="B100" s="756">
        <v>0</v>
      </c>
      <c r="C100" s="888">
        <v>15321.59</v>
      </c>
      <c r="D100" s="226">
        <v>0</v>
      </c>
      <c r="E100" s="228">
        <v>23262.36</v>
      </c>
      <c r="F100" s="227">
        <v>32174.34</v>
      </c>
      <c r="G100" s="654">
        <v>0</v>
      </c>
      <c r="H100" s="224" t="s">
        <v>60</v>
      </c>
      <c r="I100" s="592"/>
    </row>
    <row r="101" spans="1:9" s="593" customFormat="1" ht="20.100000000000001" customHeight="1" thickBot="1" x14ac:dyDescent="0.25">
      <c r="A101" s="770" t="s">
        <v>11</v>
      </c>
      <c r="B101" s="846">
        <f t="shared" ref="B101:G101" si="11">SUM(B93:B100)</f>
        <v>2008292</v>
      </c>
      <c r="C101" s="845">
        <f t="shared" si="11"/>
        <v>3270167.24</v>
      </c>
      <c r="D101" s="846">
        <f t="shared" si="11"/>
        <v>1044854</v>
      </c>
      <c r="E101" s="906">
        <f t="shared" si="11"/>
        <v>2801466.8299999996</v>
      </c>
      <c r="F101" s="907">
        <f t="shared" si="11"/>
        <v>2276104.4299999997</v>
      </c>
      <c r="G101" s="654">
        <f t="shared" si="11"/>
        <v>1306000</v>
      </c>
      <c r="H101" s="813">
        <f t="shared" si="10"/>
        <v>124.99353976727849</v>
      </c>
      <c r="I101" s="592"/>
    </row>
    <row r="102" spans="1:9" s="593" customFormat="1" ht="9.9499999999999993" customHeight="1" thickBot="1" x14ac:dyDescent="0.25">
      <c r="A102" s="816"/>
      <c r="B102" s="817"/>
      <c r="C102" s="817"/>
      <c r="D102" s="817"/>
      <c r="E102" s="817"/>
      <c r="F102" s="817"/>
      <c r="G102" s="819"/>
      <c r="H102" s="818"/>
      <c r="I102" s="592"/>
    </row>
    <row r="103" spans="1:9" s="34" customFormat="1" ht="20.100000000000001" customHeight="1" x14ac:dyDescent="0.2">
      <c r="A103" s="1207" t="s">
        <v>324</v>
      </c>
      <c r="B103" s="1208"/>
      <c r="C103" s="1208"/>
      <c r="D103" s="1208"/>
      <c r="E103" s="1208"/>
      <c r="F103" s="1208"/>
      <c r="G103" s="1208"/>
      <c r="H103" s="1209"/>
    </row>
    <row r="104" spans="1:9" s="34" customFormat="1" ht="30" customHeight="1" x14ac:dyDescent="0.2">
      <c r="A104" s="232" t="s">
        <v>393</v>
      </c>
      <c r="B104" s="233">
        <f t="shared" ref="B104:G104" si="12">+B58</f>
        <v>497240</v>
      </c>
      <c r="C104" s="752">
        <f t="shared" si="12"/>
        <v>1293946.72</v>
      </c>
      <c r="D104" s="237">
        <f t="shared" si="12"/>
        <v>0</v>
      </c>
      <c r="E104" s="239">
        <f t="shared" si="12"/>
        <v>660538.49</v>
      </c>
      <c r="F104" s="239">
        <f t="shared" si="12"/>
        <v>437975.85</v>
      </c>
      <c r="G104" s="104">
        <f t="shared" si="12"/>
        <v>0</v>
      </c>
      <c r="H104" s="241" t="s">
        <v>60</v>
      </c>
    </row>
    <row r="105" spans="1:9" ht="30" customHeight="1" x14ac:dyDescent="0.2">
      <c r="A105" s="232" t="s">
        <v>394</v>
      </c>
      <c r="B105" s="233">
        <f t="shared" ref="B105:G105" si="13">+B60</f>
        <v>1296824</v>
      </c>
      <c r="C105" s="752">
        <f t="shared" si="13"/>
        <v>798491.49</v>
      </c>
      <c r="D105" s="237">
        <f t="shared" si="13"/>
        <v>966791</v>
      </c>
      <c r="E105" s="239">
        <f t="shared" si="13"/>
        <v>2054169.66</v>
      </c>
      <c r="F105" s="239">
        <f t="shared" si="13"/>
        <v>555310.62</v>
      </c>
      <c r="G105" s="104">
        <f t="shared" si="13"/>
        <v>1137400</v>
      </c>
      <c r="H105" s="241">
        <f t="shared" ref="H105:H108" si="14">G105/D105*100</f>
        <v>117.64693713532708</v>
      </c>
    </row>
    <row r="106" spans="1:9" s="593" customFormat="1" ht="20.100000000000001" customHeight="1" x14ac:dyDescent="0.2">
      <c r="A106" s="232" t="s">
        <v>395</v>
      </c>
      <c r="B106" s="233">
        <f t="shared" ref="B106:G106" si="15">+B63</f>
        <v>214228</v>
      </c>
      <c r="C106" s="752">
        <f t="shared" si="15"/>
        <v>27616.23</v>
      </c>
      <c r="D106" s="237">
        <f t="shared" si="15"/>
        <v>78063</v>
      </c>
      <c r="E106" s="239">
        <f t="shared" si="15"/>
        <v>86758.68</v>
      </c>
      <c r="F106" s="239">
        <f t="shared" si="15"/>
        <v>19453.61</v>
      </c>
      <c r="G106" s="104">
        <f t="shared" si="15"/>
        <v>168600</v>
      </c>
      <c r="H106" s="241">
        <f t="shared" si="14"/>
        <v>215.97940125283426</v>
      </c>
      <c r="I106" s="592"/>
    </row>
    <row r="107" spans="1:9" s="593" customFormat="1" ht="30" customHeight="1" thickBot="1" x14ac:dyDescent="0.25">
      <c r="A107" s="236" t="s">
        <v>329</v>
      </c>
      <c r="B107" s="237">
        <v>0</v>
      </c>
      <c r="C107" s="889">
        <v>0</v>
      </c>
      <c r="D107" s="237">
        <v>0</v>
      </c>
      <c r="E107" s="239">
        <v>0</v>
      </c>
      <c r="F107" s="239">
        <v>0</v>
      </c>
      <c r="G107" s="104">
        <v>0</v>
      </c>
      <c r="H107" s="814" t="s">
        <v>60</v>
      </c>
      <c r="I107" s="592"/>
    </row>
    <row r="108" spans="1:9" s="593" customFormat="1" ht="20.100000000000001" customHeight="1" thickBot="1" x14ac:dyDescent="0.25">
      <c r="A108" s="772" t="s">
        <v>14</v>
      </c>
      <c r="B108" s="841">
        <f t="shared" ref="B108:G108" si="16">SUM(B104:B107)</f>
        <v>2008292</v>
      </c>
      <c r="C108" s="842">
        <f t="shared" si="16"/>
        <v>2120054.44</v>
      </c>
      <c r="D108" s="841">
        <f t="shared" si="16"/>
        <v>1044854</v>
      </c>
      <c r="E108" s="773">
        <f t="shared" si="16"/>
        <v>2801466.83</v>
      </c>
      <c r="F108" s="842">
        <f t="shared" si="16"/>
        <v>1012740.08</v>
      </c>
      <c r="G108" s="771">
        <f t="shared" si="16"/>
        <v>1306000</v>
      </c>
      <c r="H108" s="815">
        <f t="shared" si="14"/>
        <v>124.99353976727849</v>
      </c>
      <c r="I108" s="592"/>
    </row>
    <row r="109" spans="1:9" s="593" customFormat="1" ht="9.9499999999999993" customHeight="1" thickBot="1" x14ac:dyDescent="0.25">
      <c r="A109" s="729"/>
      <c r="B109" s="848"/>
      <c r="C109" s="589"/>
      <c r="D109" s="589"/>
      <c r="E109" s="589"/>
      <c r="F109" s="589"/>
      <c r="G109" s="33"/>
      <c r="H109" s="820"/>
      <c r="I109" s="592"/>
    </row>
    <row r="110" spans="1:9" s="593" customFormat="1" ht="30" customHeight="1" thickBot="1" x14ac:dyDescent="0.25">
      <c r="A110" s="755" t="s">
        <v>323</v>
      </c>
      <c r="B110" s="209">
        <f t="shared" ref="B110:G110" si="17">+B101-B108</f>
        <v>0</v>
      </c>
      <c r="C110" s="890">
        <f t="shared" si="17"/>
        <v>1150112.8000000003</v>
      </c>
      <c r="D110" s="209">
        <f t="shared" si="17"/>
        <v>0</v>
      </c>
      <c r="E110" s="211">
        <f t="shared" si="17"/>
        <v>0</v>
      </c>
      <c r="F110" s="843">
        <f t="shared" si="17"/>
        <v>1263364.3499999996</v>
      </c>
      <c r="G110" s="146">
        <f t="shared" si="17"/>
        <v>0</v>
      </c>
      <c r="H110" s="811" t="s">
        <v>60</v>
      </c>
      <c r="I110" s="592"/>
    </row>
    <row r="111" spans="1:9" s="593" customFormat="1" ht="12.75" customHeight="1" x14ac:dyDescent="0.2">
      <c r="A111" s="174"/>
      <c r="B111" s="589"/>
      <c r="C111" s="589"/>
      <c r="D111" s="589"/>
      <c r="E111" s="589"/>
      <c r="F111" s="589"/>
      <c r="G111" s="33"/>
      <c r="H111" s="698"/>
      <c r="I111" s="592"/>
    </row>
    <row r="112" spans="1:9" s="593" customFormat="1" ht="21" customHeight="1" thickBot="1" x14ac:dyDescent="0.25">
      <c r="A112" s="101" t="s">
        <v>436</v>
      </c>
      <c r="B112" s="589"/>
      <c r="C112" s="589"/>
      <c r="D112" s="589"/>
      <c r="E112" s="589"/>
      <c r="F112" s="589"/>
      <c r="H112" s="175" t="s">
        <v>0</v>
      </c>
      <c r="I112" s="592"/>
    </row>
    <row r="113" spans="1:9" s="593" customFormat="1" ht="20.100000000000001" customHeight="1" x14ac:dyDescent="0.2">
      <c r="A113" s="1210" t="s">
        <v>400</v>
      </c>
      <c r="B113" s="1211"/>
      <c r="C113" s="1211"/>
      <c r="D113" s="1211"/>
      <c r="E113" s="1211"/>
      <c r="F113" s="1211"/>
      <c r="G113" s="1211"/>
      <c r="H113" s="1212"/>
      <c r="I113" s="592"/>
    </row>
    <row r="114" spans="1:9" s="593" customFormat="1" ht="20.100000000000001" customHeight="1" x14ac:dyDescent="0.2">
      <c r="A114" s="216" t="s">
        <v>3</v>
      </c>
      <c r="B114" s="217">
        <v>400000</v>
      </c>
      <c r="C114" s="887">
        <v>507843.38</v>
      </c>
      <c r="D114" s="217">
        <v>450000</v>
      </c>
      <c r="E114" s="219">
        <v>450000</v>
      </c>
      <c r="F114" s="218">
        <v>0</v>
      </c>
      <c r="G114" s="103">
        <v>500000</v>
      </c>
      <c r="H114" s="224">
        <f t="shared" ref="H114:H119" si="18">G114/D114*100</f>
        <v>111.11111111111111</v>
      </c>
      <c r="I114" s="592"/>
    </row>
    <row r="115" spans="1:9" s="593" customFormat="1" ht="20.100000000000001" customHeight="1" x14ac:dyDescent="0.2">
      <c r="A115" s="216" t="s">
        <v>94</v>
      </c>
      <c r="B115" s="217">
        <v>0</v>
      </c>
      <c r="C115" s="887">
        <v>319177.67</v>
      </c>
      <c r="D115" s="217">
        <v>0</v>
      </c>
      <c r="E115" s="219">
        <v>522309.82</v>
      </c>
      <c r="F115" s="218">
        <v>522309.82</v>
      </c>
      <c r="G115" s="103">
        <v>0</v>
      </c>
      <c r="H115" s="224" t="s">
        <v>60</v>
      </c>
      <c r="I115" s="592"/>
    </row>
    <row r="116" spans="1:9" s="593" customFormat="1" ht="30" customHeight="1" x14ac:dyDescent="0.2">
      <c r="A116" s="216" t="s">
        <v>328</v>
      </c>
      <c r="B116" s="217">
        <f>+B43</f>
        <v>1389497</v>
      </c>
      <c r="C116" s="894">
        <f>+C43</f>
        <v>0</v>
      </c>
      <c r="D116" s="217">
        <f>+D43</f>
        <v>575227</v>
      </c>
      <c r="E116" s="219">
        <f>+E43</f>
        <v>575227</v>
      </c>
      <c r="F116" s="218">
        <f>+F43</f>
        <v>0</v>
      </c>
      <c r="G116" s="145">
        <v>944700</v>
      </c>
      <c r="H116" s="224">
        <f t="shared" si="18"/>
        <v>164.23081670366656</v>
      </c>
      <c r="I116" s="592"/>
    </row>
    <row r="117" spans="1:9" s="593" customFormat="1" ht="30" customHeight="1" x14ac:dyDescent="0.2">
      <c r="A117" s="216" t="s">
        <v>437</v>
      </c>
      <c r="B117" s="217">
        <f>+B62</f>
        <v>283703</v>
      </c>
      <c r="C117" s="894">
        <f>+C62</f>
        <v>2190.08</v>
      </c>
      <c r="D117" s="217">
        <f>+D62</f>
        <v>54535</v>
      </c>
      <c r="E117" s="219">
        <f>+E62</f>
        <v>54535</v>
      </c>
      <c r="F117" s="218">
        <f>+F62</f>
        <v>219.36</v>
      </c>
      <c r="G117" s="103">
        <f>+G124</f>
        <v>151038</v>
      </c>
      <c r="H117" s="224">
        <f t="shared" si="18"/>
        <v>276.95608324928946</v>
      </c>
      <c r="I117" s="592"/>
    </row>
    <row r="118" spans="1:9" s="593" customFormat="1" ht="20.100000000000001" customHeight="1" thickBot="1" x14ac:dyDescent="0.25">
      <c r="A118" s="749" t="s">
        <v>368</v>
      </c>
      <c r="B118" s="226">
        <v>0</v>
      </c>
      <c r="C118" s="893">
        <v>19619.849999999999</v>
      </c>
      <c r="D118" s="226">
        <v>0</v>
      </c>
      <c r="E118" s="228">
        <v>14436.86</v>
      </c>
      <c r="F118" s="227">
        <v>15075.6</v>
      </c>
      <c r="G118" s="654">
        <v>0</v>
      </c>
      <c r="H118" s="812" t="s">
        <v>60</v>
      </c>
      <c r="I118" s="592"/>
    </row>
    <row r="119" spans="1:9" s="593" customFormat="1" ht="20.100000000000001" customHeight="1" thickBot="1" x14ac:dyDescent="0.25">
      <c r="A119" s="770" t="s">
        <v>11</v>
      </c>
      <c r="B119" s="846">
        <f t="shared" ref="B119:G119" si="19">SUM(B114:B118)</f>
        <v>2073200</v>
      </c>
      <c r="C119" s="892">
        <f t="shared" si="19"/>
        <v>848830.98</v>
      </c>
      <c r="D119" s="846">
        <f t="shared" si="19"/>
        <v>1079762</v>
      </c>
      <c r="E119" s="906">
        <f t="shared" si="19"/>
        <v>1616508.6800000002</v>
      </c>
      <c r="F119" s="907">
        <f t="shared" si="19"/>
        <v>537604.78</v>
      </c>
      <c r="G119" s="654">
        <f t="shared" si="19"/>
        <v>1595738</v>
      </c>
      <c r="H119" s="813">
        <f t="shared" si="18"/>
        <v>147.78608619306848</v>
      </c>
      <c r="I119" s="592"/>
    </row>
    <row r="120" spans="1:9" ht="9.9499999999999993" customHeight="1" thickBot="1" x14ac:dyDescent="0.25">
      <c r="A120" s="729"/>
      <c r="G120" s="837"/>
      <c r="H120" s="820"/>
    </row>
    <row r="121" spans="1:9" ht="27" customHeight="1" x14ac:dyDescent="0.2">
      <c r="A121" s="1207" t="s">
        <v>324</v>
      </c>
      <c r="B121" s="1208"/>
      <c r="C121" s="1208"/>
      <c r="D121" s="1208"/>
      <c r="E121" s="1208"/>
      <c r="F121" s="1208"/>
      <c r="G121" s="1208"/>
      <c r="H121" s="1209"/>
    </row>
    <row r="122" spans="1:9" ht="30" customHeight="1" x14ac:dyDescent="0.2">
      <c r="A122" s="232" t="s">
        <v>396</v>
      </c>
      <c r="B122" s="233">
        <f t="shared" ref="B122:G122" si="20">+B59</f>
        <v>349860</v>
      </c>
      <c r="C122" s="752">
        <f t="shared" si="20"/>
        <v>627677.05000000005</v>
      </c>
      <c r="D122" s="237">
        <f t="shared" si="20"/>
        <v>50420</v>
      </c>
      <c r="E122" s="239">
        <f t="shared" si="20"/>
        <v>139607.62</v>
      </c>
      <c r="F122" s="238">
        <f t="shared" si="20"/>
        <v>24900.1</v>
      </c>
      <c r="G122" s="104">
        <f t="shared" si="20"/>
        <v>0</v>
      </c>
      <c r="H122" s="1151">
        <f t="shared" ref="H122:H126" si="21">G122/D122*100</f>
        <v>0</v>
      </c>
      <c r="I122" s="215"/>
    </row>
    <row r="123" spans="1:9" ht="30" customHeight="1" x14ac:dyDescent="0.2">
      <c r="A123" s="232" t="s">
        <v>397</v>
      </c>
      <c r="B123" s="233">
        <f t="shared" ref="B123:G124" si="22">+B61</f>
        <v>1097422</v>
      </c>
      <c r="C123" s="752">
        <f t="shared" si="22"/>
        <v>143125.32999999999</v>
      </c>
      <c r="D123" s="237">
        <f t="shared" si="22"/>
        <v>761474</v>
      </c>
      <c r="E123" s="239">
        <f t="shared" si="22"/>
        <v>1170534.98</v>
      </c>
      <c r="F123" s="238">
        <f t="shared" si="22"/>
        <v>109558.64</v>
      </c>
      <c r="G123" s="104">
        <f t="shared" si="22"/>
        <v>1142000</v>
      </c>
      <c r="H123" s="1151">
        <f t="shared" si="21"/>
        <v>149.9722905837888</v>
      </c>
      <c r="I123" s="215"/>
    </row>
    <row r="124" spans="1:9" ht="30" customHeight="1" x14ac:dyDescent="0.2">
      <c r="A124" s="232" t="s">
        <v>398</v>
      </c>
      <c r="B124" s="233">
        <f t="shared" si="22"/>
        <v>283703</v>
      </c>
      <c r="C124" s="752">
        <f t="shared" si="22"/>
        <v>2190.08</v>
      </c>
      <c r="D124" s="237">
        <f t="shared" si="22"/>
        <v>54535</v>
      </c>
      <c r="E124" s="239">
        <f t="shared" si="22"/>
        <v>54535</v>
      </c>
      <c r="F124" s="238">
        <f t="shared" si="22"/>
        <v>219.36</v>
      </c>
      <c r="G124" s="104">
        <f t="shared" si="22"/>
        <v>151038</v>
      </c>
      <c r="H124" s="1151">
        <f t="shared" si="21"/>
        <v>276.95608324928946</v>
      </c>
      <c r="I124" s="215"/>
    </row>
    <row r="125" spans="1:9" ht="30" customHeight="1" thickBot="1" x14ac:dyDescent="0.25">
      <c r="A125" s="232" t="s">
        <v>399</v>
      </c>
      <c r="B125" s="233">
        <f t="shared" ref="B125:G125" si="23">+B64</f>
        <v>342215</v>
      </c>
      <c r="C125" s="752">
        <f t="shared" si="23"/>
        <v>75838.52</v>
      </c>
      <c r="D125" s="990">
        <f t="shared" si="23"/>
        <v>213333</v>
      </c>
      <c r="E125" s="991">
        <f t="shared" si="23"/>
        <v>251831.08</v>
      </c>
      <c r="F125" s="992">
        <f t="shared" si="23"/>
        <v>63893.66</v>
      </c>
      <c r="G125" s="104">
        <f t="shared" si="23"/>
        <v>302700</v>
      </c>
      <c r="H125" s="1151">
        <f t="shared" si="21"/>
        <v>141.89084670444799</v>
      </c>
      <c r="I125" s="215"/>
    </row>
    <row r="126" spans="1:9" ht="20.100000000000001" customHeight="1" thickBot="1" x14ac:dyDescent="0.25">
      <c r="A126" s="772" t="s">
        <v>14</v>
      </c>
      <c r="B126" s="847">
        <f t="shared" ref="B126:G126" si="24">SUM(B122:B125)</f>
        <v>2073200</v>
      </c>
      <c r="C126" s="891">
        <f t="shared" si="24"/>
        <v>848830.98</v>
      </c>
      <c r="D126" s="841">
        <f t="shared" si="24"/>
        <v>1079762</v>
      </c>
      <c r="E126" s="773">
        <f t="shared" si="24"/>
        <v>1616508.6800000002</v>
      </c>
      <c r="F126" s="842">
        <f t="shared" si="24"/>
        <v>198571.75999999998</v>
      </c>
      <c r="G126" s="771">
        <f t="shared" si="24"/>
        <v>1595738</v>
      </c>
      <c r="H126" s="815">
        <f t="shared" si="21"/>
        <v>147.78608619306848</v>
      </c>
    </row>
    <row r="127" spans="1:9" ht="9.9499999999999993" customHeight="1" thickBot="1" x14ac:dyDescent="0.25">
      <c r="A127" s="729"/>
      <c r="G127" s="730"/>
      <c r="H127" s="175"/>
    </row>
    <row r="128" spans="1:9" ht="30" customHeight="1" thickBot="1" x14ac:dyDescent="0.25">
      <c r="A128" s="755" t="s">
        <v>325</v>
      </c>
      <c r="B128" s="209">
        <f>+B119-B126</f>
        <v>0</v>
      </c>
      <c r="C128" s="890">
        <f>+C119-C126</f>
        <v>0</v>
      </c>
      <c r="D128" s="209">
        <f>+D119-D126</f>
        <v>0</v>
      </c>
      <c r="E128" s="211">
        <f t="shared" ref="E128:G128" si="25">+E119-E126</f>
        <v>0</v>
      </c>
      <c r="F128" s="843">
        <f t="shared" si="25"/>
        <v>339033.02</v>
      </c>
      <c r="G128" s="146">
        <f t="shared" si="25"/>
        <v>0</v>
      </c>
      <c r="H128" s="811" t="s">
        <v>60</v>
      </c>
    </row>
    <row r="129" spans="1:7" ht="12.75" customHeight="1" x14ac:dyDescent="0.2">
      <c r="A129" s="697"/>
      <c r="G129" s="33"/>
    </row>
    <row r="130" spans="1:7" ht="12.75" customHeight="1" x14ac:dyDescent="0.2">
      <c r="G130" s="33"/>
    </row>
    <row r="131" spans="1:7" ht="12.75" customHeight="1" x14ac:dyDescent="0.2">
      <c r="G131" s="33"/>
    </row>
    <row r="132" spans="1:7" ht="12.75" customHeight="1" x14ac:dyDescent="0.2">
      <c r="G132" s="33"/>
    </row>
    <row r="133" spans="1:7" ht="12.75" customHeight="1" x14ac:dyDescent="0.2">
      <c r="G133" s="33"/>
    </row>
    <row r="134" spans="1:7" ht="12.75" customHeight="1" x14ac:dyDescent="0.2"/>
    <row r="135" spans="1:7" ht="12.75" customHeight="1" x14ac:dyDescent="0.2"/>
    <row r="136" spans="1:7" ht="12.75" customHeight="1" x14ac:dyDescent="0.2"/>
    <row r="444" spans="1:1" x14ac:dyDescent="0.2">
      <c r="A444" s="699"/>
    </row>
  </sheetData>
  <mergeCells count="18">
    <mergeCell ref="A78:H78"/>
    <mergeCell ref="A92:H92"/>
    <mergeCell ref="A9:H9"/>
    <mergeCell ref="A37:H37"/>
    <mergeCell ref="H7:H8"/>
    <mergeCell ref="A48:H48"/>
    <mergeCell ref="A7:A8"/>
    <mergeCell ref="B7:C7"/>
    <mergeCell ref="D7:F7"/>
    <mergeCell ref="G7:G8"/>
    <mergeCell ref="A103:H103"/>
    <mergeCell ref="A113:H113"/>
    <mergeCell ref="A121:H121"/>
    <mergeCell ref="A90:A91"/>
    <mergeCell ref="B90:C90"/>
    <mergeCell ref="D90:F90"/>
    <mergeCell ref="G90:G91"/>
    <mergeCell ref="H90:H91"/>
  </mergeCells>
  <printOptions horizontalCentered="1"/>
  <pageMargins left="0" right="0" top="0.59055118110236227" bottom="0.59055118110236227" header="0.31496062992125984" footer="0.31496062992125984"/>
  <pageSetup paperSize="8" scale="72" fitToHeight="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439"/>
  <sheetViews>
    <sheetView zoomScaleNormal="100" workbookViewId="0"/>
  </sheetViews>
  <sheetFormatPr defaultColWidth="9.140625" defaultRowHeight="12.75" x14ac:dyDescent="0.2"/>
  <cols>
    <col min="1" max="1" width="9.7109375" style="71" customWidth="1"/>
    <col min="2" max="2" width="60.7109375" style="71" customWidth="1"/>
    <col min="3" max="3" width="16.7109375" style="324" customWidth="1"/>
    <col min="4" max="4" width="15.5703125" style="325" customWidth="1"/>
    <col min="5" max="5" width="16.7109375" style="324" customWidth="1"/>
    <col min="6" max="8" width="16.7109375" style="325" customWidth="1"/>
    <col min="9" max="9" width="10.7109375" style="326" customWidth="1"/>
    <col min="10" max="16384" width="9.140625" style="71"/>
  </cols>
  <sheetData>
    <row r="1" spans="1:10" s="57" customFormat="1" ht="15" customHeight="1" x14ac:dyDescent="0.2">
      <c r="A1" s="384"/>
      <c r="B1" s="700"/>
      <c r="D1" s="594"/>
      <c r="F1" s="594"/>
      <c r="G1" s="594"/>
      <c r="H1" s="594"/>
    </row>
    <row r="2" spans="1:10" s="57" customFormat="1" ht="24" customHeight="1" x14ac:dyDescent="0.2">
      <c r="A2" s="384" t="s">
        <v>506</v>
      </c>
      <c r="B2" s="700"/>
      <c r="D2" s="594"/>
      <c r="F2" s="594"/>
      <c r="G2" s="594"/>
      <c r="H2" s="594"/>
    </row>
    <row r="3" spans="1:10" s="702" customFormat="1" ht="15" customHeight="1" x14ac:dyDescent="0.2">
      <c r="A3" s="701"/>
      <c r="D3" s="703"/>
      <c r="H3" s="703"/>
    </row>
    <row r="4" spans="1:10" s="702" customFormat="1" ht="20.100000000000001" customHeight="1" x14ac:dyDescent="0.2">
      <c r="A4" s="1223" t="s">
        <v>70</v>
      </c>
      <c r="B4" s="1224"/>
      <c r="C4" s="704"/>
      <c r="D4" s="325"/>
      <c r="E4" s="704"/>
      <c r="H4" s="703"/>
    </row>
    <row r="5" spans="1:10" ht="15" customHeight="1" x14ac:dyDescent="0.2">
      <c r="B5" s="579"/>
    </row>
    <row r="6" spans="1:10" ht="15" customHeight="1" thickBot="1" x14ac:dyDescent="0.25">
      <c r="I6" s="705" t="s">
        <v>0</v>
      </c>
    </row>
    <row r="7" spans="1:10" ht="20.100000000000001" customHeight="1" x14ac:dyDescent="0.2">
      <c r="A7" s="1225" t="s">
        <v>1</v>
      </c>
      <c r="B7" s="1221" t="s">
        <v>1</v>
      </c>
      <c r="C7" s="1198" t="s">
        <v>365</v>
      </c>
      <c r="D7" s="1199"/>
      <c r="E7" s="1198" t="s">
        <v>440</v>
      </c>
      <c r="F7" s="1202"/>
      <c r="G7" s="1199"/>
      <c r="H7" s="1203" t="s">
        <v>507</v>
      </c>
      <c r="I7" s="1205" t="s">
        <v>509</v>
      </c>
    </row>
    <row r="8" spans="1:10" ht="35.1" customHeight="1" thickBot="1" x14ac:dyDescent="0.25">
      <c r="A8" s="1226"/>
      <c r="B8" s="1222"/>
      <c r="C8" s="264" t="s">
        <v>109</v>
      </c>
      <c r="D8" s="942" t="s">
        <v>596</v>
      </c>
      <c r="E8" s="264" t="s">
        <v>109</v>
      </c>
      <c r="F8" s="265" t="s">
        <v>589</v>
      </c>
      <c r="G8" s="266" t="s">
        <v>595</v>
      </c>
      <c r="H8" s="1204"/>
      <c r="I8" s="1206"/>
    </row>
    <row r="9" spans="1:10" ht="20.25" customHeight="1" x14ac:dyDescent="0.2">
      <c r="A9" s="309" t="s">
        <v>18</v>
      </c>
      <c r="B9" s="310" t="s">
        <v>300</v>
      </c>
      <c r="C9" s="311">
        <v>10000</v>
      </c>
      <c r="D9" s="312">
        <v>17880</v>
      </c>
      <c r="E9" s="311">
        <v>11000</v>
      </c>
      <c r="F9" s="313">
        <v>23300</v>
      </c>
      <c r="G9" s="312">
        <v>19693.599999999999</v>
      </c>
      <c r="H9" s="1144">
        <v>15000</v>
      </c>
      <c r="I9" s="314">
        <f t="shared" ref="I9:I22" si="0">H9/E9*100</f>
        <v>136.36363636363635</v>
      </c>
      <c r="J9" s="324"/>
    </row>
    <row r="10" spans="1:10" ht="20.25" customHeight="1" x14ac:dyDescent="0.2">
      <c r="A10" s="309" t="s">
        <v>230</v>
      </c>
      <c r="B10" s="310" t="s">
        <v>292</v>
      </c>
      <c r="C10" s="311">
        <v>40000</v>
      </c>
      <c r="D10" s="312">
        <v>46843.85</v>
      </c>
      <c r="E10" s="311">
        <v>75000</v>
      </c>
      <c r="F10" s="313">
        <v>71334.53</v>
      </c>
      <c r="G10" s="312">
        <v>5859.13</v>
      </c>
      <c r="H10" s="1144">
        <v>75000</v>
      </c>
      <c r="I10" s="314">
        <f t="shared" si="0"/>
        <v>100</v>
      </c>
      <c r="J10" s="324"/>
    </row>
    <row r="11" spans="1:10" ht="20.25" customHeight="1" x14ac:dyDescent="0.2">
      <c r="A11" s="309" t="s">
        <v>279</v>
      </c>
      <c r="B11" s="310" t="s">
        <v>232</v>
      </c>
      <c r="C11" s="311">
        <v>40000</v>
      </c>
      <c r="D11" s="312">
        <v>39165.15</v>
      </c>
      <c r="E11" s="311">
        <v>47000</v>
      </c>
      <c r="F11" s="313">
        <v>58000</v>
      </c>
      <c r="G11" s="312">
        <v>54325.45</v>
      </c>
      <c r="H11" s="1144">
        <v>47000</v>
      </c>
      <c r="I11" s="314">
        <f t="shared" si="0"/>
        <v>100</v>
      </c>
      <c r="J11" s="324"/>
    </row>
    <row r="12" spans="1:10" ht="20.25" customHeight="1" x14ac:dyDescent="0.2">
      <c r="A12" s="309" t="s">
        <v>20</v>
      </c>
      <c r="B12" s="310" t="s">
        <v>21</v>
      </c>
      <c r="C12" s="311">
        <v>51000</v>
      </c>
      <c r="D12" s="312">
        <v>54178.080000000002</v>
      </c>
      <c r="E12" s="311">
        <v>72000</v>
      </c>
      <c r="F12" s="313">
        <v>94549.28</v>
      </c>
      <c r="G12" s="312">
        <v>46922.68</v>
      </c>
      <c r="H12" s="1144">
        <v>72000</v>
      </c>
      <c r="I12" s="314">
        <f t="shared" si="0"/>
        <v>100</v>
      </c>
      <c r="J12" s="324"/>
    </row>
    <row r="13" spans="1:10" ht="20.25" customHeight="1" x14ac:dyDescent="0.2">
      <c r="A13" s="309" t="s">
        <v>20</v>
      </c>
      <c r="B13" s="310" t="s">
        <v>311</v>
      </c>
      <c r="C13" s="311">
        <v>21500</v>
      </c>
      <c r="D13" s="312">
        <v>12698.81</v>
      </c>
      <c r="E13" s="311">
        <v>23500</v>
      </c>
      <c r="F13" s="313">
        <v>33556.28</v>
      </c>
      <c r="G13" s="312">
        <v>20760.400000000001</v>
      </c>
      <c r="H13" s="1144">
        <v>23500</v>
      </c>
      <c r="I13" s="314">
        <f t="shared" si="0"/>
        <v>100</v>
      </c>
      <c r="J13" s="324"/>
    </row>
    <row r="14" spans="1:10" ht="20.25" customHeight="1" x14ac:dyDescent="0.2">
      <c r="A14" s="309" t="s">
        <v>69</v>
      </c>
      <c r="B14" s="310" t="s">
        <v>301</v>
      </c>
      <c r="C14" s="311">
        <v>7000</v>
      </c>
      <c r="D14" s="312">
        <v>6400.59</v>
      </c>
      <c r="E14" s="311">
        <v>10000</v>
      </c>
      <c r="F14" s="313">
        <v>10000</v>
      </c>
      <c r="G14" s="312">
        <v>4270</v>
      </c>
      <c r="H14" s="1144">
        <v>10000</v>
      </c>
      <c r="I14" s="314">
        <f t="shared" si="0"/>
        <v>100</v>
      </c>
      <c r="J14" s="324"/>
    </row>
    <row r="15" spans="1:10" ht="20.25" customHeight="1" x14ac:dyDescent="0.2">
      <c r="A15" s="309" t="s">
        <v>91</v>
      </c>
      <c r="B15" s="310" t="s">
        <v>357</v>
      </c>
      <c r="C15" s="311">
        <v>40000</v>
      </c>
      <c r="D15" s="312">
        <v>39650.620000000003</v>
      </c>
      <c r="E15" s="311">
        <v>54000</v>
      </c>
      <c r="F15" s="313">
        <v>209000</v>
      </c>
      <c r="G15" s="312">
        <v>33434.67</v>
      </c>
      <c r="H15" s="1144">
        <v>65000</v>
      </c>
      <c r="I15" s="314">
        <f t="shared" si="0"/>
        <v>120.37037037037037</v>
      </c>
      <c r="J15" s="324"/>
    </row>
    <row r="16" spans="1:10" ht="20.25" customHeight="1" x14ac:dyDescent="0.2">
      <c r="A16" s="309" t="s">
        <v>91</v>
      </c>
      <c r="B16" s="310" t="s">
        <v>80</v>
      </c>
      <c r="C16" s="311">
        <v>100000</v>
      </c>
      <c r="D16" s="312">
        <v>113290.16</v>
      </c>
      <c r="E16" s="311">
        <v>270000</v>
      </c>
      <c r="F16" s="313">
        <v>326822.18</v>
      </c>
      <c r="G16" s="312">
        <v>96004.93</v>
      </c>
      <c r="H16" s="1144">
        <v>100000</v>
      </c>
      <c r="I16" s="314">
        <f t="shared" si="0"/>
        <v>37.037037037037038</v>
      </c>
      <c r="J16" s="324"/>
    </row>
    <row r="17" spans="1:10" ht="20.25" customHeight="1" x14ac:dyDescent="0.2">
      <c r="A17" s="309" t="s">
        <v>91</v>
      </c>
      <c r="B17" s="315" t="s">
        <v>101</v>
      </c>
      <c r="C17" s="311">
        <v>10000</v>
      </c>
      <c r="D17" s="312">
        <v>16903.939999999999</v>
      </c>
      <c r="E17" s="311">
        <v>11000</v>
      </c>
      <c r="F17" s="313">
        <v>64841.8</v>
      </c>
      <c r="G17" s="312">
        <v>9416.1200000000008</v>
      </c>
      <c r="H17" s="1144">
        <v>11000</v>
      </c>
      <c r="I17" s="314">
        <f t="shared" si="0"/>
        <v>100</v>
      </c>
      <c r="J17" s="324"/>
    </row>
    <row r="18" spans="1:10" ht="20.25" customHeight="1" x14ac:dyDescent="0.2">
      <c r="A18" s="309" t="s">
        <v>91</v>
      </c>
      <c r="B18" s="315" t="s">
        <v>221</v>
      </c>
      <c r="C18" s="311">
        <v>0</v>
      </c>
      <c r="D18" s="312">
        <v>16000</v>
      </c>
      <c r="E18" s="311">
        <v>0</v>
      </c>
      <c r="F18" s="313">
        <v>12000</v>
      </c>
      <c r="G18" s="312">
        <v>0</v>
      </c>
      <c r="H18" s="1144">
        <v>12000</v>
      </c>
      <c r="I18" s="314" t="s">
        <v>60</v>
      </c>
      <c r="J18" s="324"/>
    </row>
    <row r="19" spans="1:10" ht="20.25" customHeight="1" x14ac:dyDescent="0.2">
      <c r="A19" s="309" t="s">
        <v>91</v>
      </c>
      <c r="B19" s="315" t="s">
        <v>278</v>
      </c>
      <c r="C19" s="311">
        <v>0</v>
      </c>
      <c r="D19" s="312">
        <v>1257</v>
      </c>
      <c r="E19" s="311">
        <v>0</v>
      </c>
      <c r="F19" s="313">
        <v>0</v>
      </c>
      <c r="G19" s="312">
        <v>0</v>
      </c>
      <c r="H19" s="1144">
        <v>0</v>
      </c>
      <c r="I19" s="314" t="s">
        <v>60</v>
      </c>
      <c r="J19" s="324"/>
    </row>
    <row r="20" spans="1:10" ht="20.25" customHeight="1" x14ac:dyDescent="0.2">
      <c r="A20" s="309" t="s">
        <v>91</v>
      </c>
      <c r="B20" s="315" t="s">
        <v>280</v>
      </c>
      <c r="C20" s="311">
        <v>0</v>
      </c>
      <c r="D20" s="312">
        <v>3900</v>
      </c>
      <c r="E20" s="311">
        <v>0</v>
      </c>
      <c r="F20" s="313">
        <v>18304</v>
      </c>
      <c r="G20" s="312">
        <v>600</v>
      </c>
      <c r="H20" s="1144">
        <v>0</v>
      </c>
      <c r="I20" s="314" t="s">
        <v>60</v>
      </c>
      <c r="J20" s="324"/>
    </row>
    <row r="21" spans="1:10" ht="20.25" customHeight="1" x14ac:dyDescent="0.2">
      <c r="A21" s="309" t="s">
        <v>91</v>
      </c>
      <c r="B21" s="315" t="s">
        <v>281</v>
      </c>
      <c r="C21" s="311">
        <v>200</v>
      </c>
      <c r="D21" s="312">
        <v>200</v>
      </c>
      <c r="E21" s="311">
        <v>400</v>
      </c>
      <c r="F21" s="313">
        <v>750</v>
      </c>
      <c r="G21" s="312">
        <v>350</v>
      </c>
      <c r="H21" s="1144">
        <v>400</v>
      </c>
      <c r="I21" s="314">
        <f t="shared" si="0"/>
        <v>100</v>
      </c>
      <c r="J21" s="324"/>
    </row>
    <row r="22" spans="1:10" ht="20.25" customHeight="1" x14ac:dyDescent="0.2">
      <c r="A22" s="309" t="s">
        <v>22</v>
      </c>
      <c r="B22" s="310" t="s">
        <v>23</v>
      </c>
      <c r="C22" s="311">
        <v>24000</v>
      </c>
      <c r="D22" s="312">
        <v>19567.09</v>
      </c>
      <c r="E22" s="311">
        <v>26500</v>
      </c>
      <c r="F22" s="313">
        <v>50001.66</v>
      </c>
      <c r="G22" s="312">
        <v>20347.34</v>
      </c>
      <c r="H22" s="1144">
        <v>26500</v>
      </c>
      <c r="I22" s="314">
        <f t="shared" si="0"/>
        <v>100</v>
      </c>
      <c r="J22" s="324"/>
    </row>
    <row r="23" spans="1:10" ht="20.25" customHeight="1" x14ac:dyDescent="0.2">
      <c r="A23" s="309" t="s">
        <v>22</v>
      </c>
      <c r="B23" s="310" t="s">
        <v>358</v>
      </c>
      <c r="C23" s="311">
        <v>110000</v>
      </c>
      <c r="D23" s="312">
        <v>100983.85</v>
      </c>
      <c r="E23" s="311">
        <v>121000</v>
      </c>
      <c r="F23" s="313">
        <v>216862.14</v>
      </c>
      <c r="G23" s="312">
        <v>44541.91</v>
      </c>
      <c r="H23" s="1144">
        <v>121000</v>
      </c>
      <c r="I23" s="314">
        <f>H23/E23*100</f>
        <v>100</v>
      </c>
      <c r="J23" s="324"/>
    </row>
    <row r="24" spans="1:10" ht="20.25" customHeight="1" x14ac:dyDescent="0.2">
      <c r="A24" s="309" t="s">
        <v>24</v>
      </c>
      <c r="B24" s="310" t="s">
        <v>434</v>
      </c>
      <c r="C24" s="311">
        <v>55000</v>
      </c>
      <c r="D24" s="312">
        <v>54597.34</v>
      </c>
      <c r="E24" s="311">
        <v>85000</v>
      </c>
      <c r="F24" s="313">
        <v>85000</v>
      </c>
      <c r="G24" s="312">
        <v>71830.399999999994</v>
      </c>
      <c r="H24" s="1144">
        <v>85000</v>
      </c>
      <c r="I24" s="314">
        <f t="shared" ref="I24:I27" si="1">H24/E24*100</f>
        <v>100</v>
      </c>
      <c r="J24" s="324"/>
    </row>
    <row r="25" spans="1:10" ht="20.25" customHeight="1" x14ac:dyDescent="0.2">
      <c r="A25" s="309" t="s">
        <v>226</v>
      </c>
      <c r="B25" s="310" t="s">
        <v>234</v>
      </c>
      <c r="C25" s="311">
        <v>10000</v>
      </c>
      <c r="D25" s="312">
        <v>10017.92</v>
      </c>
      <c r="E25" s="311">
        <v>15000</v>
      </c>
      <c r="F25" s="313">
        <v>15000</v>
      </c>
      <c r="G25" s="312">
        <v>15000</v>
      </c>
      <c r="H25" s="1144">
        <v>23000</v>
      </c>
      <c r="I25" s="314">
        <f t="shared" si="1"/>
        <v>153.33333333333334</v>
      </c>
      <c r="J25" s="324"/>
    </row>
    <row r="26" spans="1:10" ht="20.25" customHeight="1" x14ac:dyDescent="0.2">
      <c r="A26" s="309" t="s">
        <v>226</v>
      </c>
      <c r="B26" s="310" t="s">
        <v>19</v>
      </c>
      <c r="C26" s="311">
        <v>42000</v>
      </c>
      <c r="D26" s="312">
        <v>70246.45</v>
      </c>
      <c r="E26" s="311">
        <v>81000</v>
      </c>
      <c r="F26" s="313">
        <v>86841.72</v>
      </c>
      <c r="G26" s="312">
        <v>40737.33</v>
      </c>
      <c r="H26" s="1144">
        <v>82000</v>
      </c>
      <c r="I26" s="314">
        <f t="shared" si="1"/>
        <v>101.23456790123457</v>
      </c>
      <c r="J26" s="324"/>
    </row>
    <row r="27" spans="1:10" ht="20.25" customHeight="1" thickBot="1" x14ac:dyDescent="0.25">
      <c r="A27" s="316" t="s">
        <v>282</v>
      </c>
      <c r="B27" s="317" t="s">
        <v>283</v>
      </c>
      <c r="C27" s="318">
        <v>20000</v>
      </c>
      <c r="D27" s="319">
        <v>5634.06</v>
      </c>
      <c r="E27" s="318">
        <v>22000</v>
      </c>
      <c r="F27" s="320">
        <v>25000</v>
      </c>
      <c r="G27" s="319">
        <v>0</v>
      </c>
      <c r="H27" s="1145">
        <v>22000</v>
      </c>
      <c r="I27" s="314">
        <f t="shared" si="1"/>
        <v>100</v>
      </c>
      <c r="J27" s="324"/>
    </row>
    <row r="28" spans="1:10" s="101" customFormat="1" ht="30" customHeight="1" thickBot="1" x14ac:dyDescent="0.25">
      <c r="A28" s="321" t="s">
        <v>58</v>
      </c>
      <c r="B28" s="322"/>
      <c r="C28" s="272">
        <f t="shared" ref="C28:H28" si="2">SUM(C9:C27)</f>
        <v>580700</v>
      </c>
      <c r="D28" s="273">
        <f t="shared" si="2"/>
        <v>629414.91</v>
      </c>
      <c r="E28" s="272">
        <f t="shared" si="2"/>
        <v>924400</v>
      </c>
      <c r="F28" s="275">
        <f t="shared" si="2"/>
        <v>1401163.59</v>
      </c>
      <c r="G28" s="273">
        <f t="shared" si="2"/>
        <v>484093.96</v>
      </c>
      <c r="H28" s="214">
        <f t="shared" si="2"/>
        <v>790400</v>
      </c>
      <c r="I28" s="323">
        <f>H28/E28*100</f>
        <v>85.50411077455648</v>
      </c>
      <c r="J28" s="585"/>
    </row>
    <row r="29" spans="1:10" x14ac:dyDescent="0.2">
      <c r="H29" s="324"/>
    </row>
    <row r="30" spans="1:10" ht="13.5" thickBot="1" x14ac:dyDescent="0.25">
      <c r="C30" s="325"/>
      <c r="E30" s="325"/>
      <c r="H30" s="324"/>
    </row>
    <row r="31" spans="1:10" ht="60.75" thickBot="1" x14ac:dyDescent="0.25">
      <c r="A31" s="718">
        <v>10</v>
      </c>
      <c r="B31" s="719" t="s">
        <v>93</v>
      </c>
      <c r="C31" s="720">
        <v>0</v>
      </c>
      <c r="D31" s="721">
        <v>1250</v>
      </c>
      <c r="E31" s="720">
        <v>0</v>
      </c>
      <c r="F31" s="722">
        <v>0</v>
      </c>
      <c r="G31" s="721">
        <v>0</v>
      </c>
      <c r="H31" s="1146">
        <v>0</v>
      </c>
      <c r="I31" s="723" t="s">
        <v>60</v>
      </c>
    </row>
    <row r="439" spans="1:1" x14ac:dyDescent="0.2">
      <c r="A439" s="387"/>
    </row>
  </sheetData>
  <mergeCells count="7">
    <mergeCell ref="B7:B8"/>
    <mergeCell ref="C7:D7"/>
    <mergeCell ref="I7:I8"/>
    <mergeCell ref="A4:B4"/>
    <mergeCell ref="A7:A8"/>
    <mergeCell ref="E7:G7"/>
    <mergeCell ref="H7:H8"/>
  </mergeCells>
  <phoneticPr fontId="8" type="noConversion"/>
  <printOptions horizontalCentered="1"/>
  <pageMargins left="0.19685039370078741" right="0" top="0.78740157480314965" bottom="0.59055118110236227" header="0.59055118110236227" footer="0.59055118110236227"/>
  <pageSetup paperSize="9" scale="78" orientation="landscape" r:id="rId1"/>
  <headerFooter differentFirst="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79"/>
  <sheetViews>
    <sheetView workbookViewId="0"/>
  </sheetViews>
  <sheetFormatPr defaultColWidth="9.140625" defaultRowHeight="12.75" x14ac:dyDescent="0.2"/>
  <cols>
    <col min="1" max="1" width="42.85546875" style="71" customWidth="1"/>
    <col min="2" max="4" width="20.7109375" style="71" customWidth="1"/>
    <col min="5" max="5" width="20.28515625" style="71" customWidth="1"/>
    <col min="6" max="6" width="20.7109375" style="71" customWidth="1"/>
    <col min="7" max="7" width="20.7109375" style="324" customWidth="1"/>
    <col min="8" max="9" width="20.7109375" style="71" customWidth="1"/>
    <col min="10" max="11" width="14.5703125" style="71" customWidth="1"/>
    <col min="12" max="12" width="10.7109375" style="71" bestFit="1" customWidth="1"/>
    <col min="13" max="13" width="11.7109375" style="71" bestFit="1" customWidth="1"/>
    <col min="14" max="16384" width="9.140625" style="71"/>
  </cols>
  <sheetData>
    <row r="1" spans="1:18" s="57" customFormat="1" ht="15" customHeight="1" x14ac:dyDescent="0.2">
      <c r="A1" s="384"/>
      <c r="B1" s="384"/>
      <c r="C1" s="384"/>
      <c r="D1" s="384"/>
      <c r="E1" s="384"/>
      <c r="F1" s="384"/>
      <c r="G1" s="385"/>
    </row>
    <row r="2" spans="1:18" s="57" customFormat="1" ht="24" customHeight="1" x14ac:dyDescent="0.2">
      <c r="A2" s="384" t="s">
        <v>506</v>
      </c>
      <c r="B2" s="384"/>
      <c r="C2" s="384"/>
      <c r="D2" s="384"/>
      <c r="E2" s="384"/>
      <c r="F2" s="384"/>
      <c r="G2" s="385"/>
    </row>
    <row r="3" spans="1:18" ht="15" customHeight="1" x14ac:dyDescent="0.2"/>
    <row r="4" spans="1:18" ht="18.75" x14ac:dyDescent="0.2">
      <c r="A4" s="1243" t="s">
        <v>564</v>
      </c>
      <c r="B4" s="1243"/>
      <c r="C4" s="1243"/>
      <c r="D4" s="1243"/>
      <c r="E4" s="1243"/>
      <c r="F4" s="1243"/>
      <c r="G4" s="1243"/>
      <c r="H4" s="1243"/>
      <c r="I4" s="1243"/>
    </row>
    <row r="5" spans="1:18" ht="18.75" x14ac:dyDescent="0.2">
      <c r="A5" s="678"/>
      <c r="B5" s="678"/>
      <c r="C5" s="678"/>
      <c r="D5" s="678"/>
      <c r="E5" s="678"/>
      <c r="F5" s="678"/>
      <c r="G5" s="678"/>
      <c r="H5" s="678"/>
      <c r="I5" s="678"/>
    </row>
    <row r="6" spans="1:18" ht="15" customHeight="1" x14ac:dyDescent="0.2">
      <c r="A6" s="1250" t="s">
        <v>600</v>
      </c>
      <c r="B6" s="1250"/>
      <c r="C6" s="1250"/>
      <c r="D6" s="1250"/>
      <c r="E6" s="1250"/>
      <c r="F6" s="1250"/>
      <c r="G6" s="1250"/>
      <c r="H6" s="1250"/>
      <c r="I6" s="1250"/>
      <c r="J6" s="724"/>
      <c r="K6" s="724"/>
      <c r="L6" s="724"/>
      <c r="M6" s="724"/>
      <c r="N6" s="724"/>
      <c r="O6" s="724"/>
      <c r="P6" s="724"/>
      <c r="Q6" s="724"/>
      <c r="R6" s="724"/>
    </row>
    <row r="7" spans="1:18" ht="15.75" thickBot="1" x14ac:dyDescent="0.25">
      <c r="B7" s="580"/>
      <c r="C7" s="580"/>
      <c r="D7" s="580"/>
      <c r="E7" s="580"/>
      <c r="F7" s="580"/>
      <c r="G7" s="578"/>
      <c r="H7" s="578"/>
      <c r="I7" s="580" t="s">
        <v>0</v>
      </c>
      <c r="J7" s="724"/>
      <c r="K7" s="724"/>
      <c r="L7" s="724"/>
      <c r="M7" s="724"/>
      <c r="N7" s="724"/>
      <c r="O7" s="724"/>
      <c r="P7" s="724"/>
      <c r="Q7" s="724"/>
      <c r="R7" s="724"/>
    </row>
    <row r="8" spans="1:18" ht="36.75" customHeight="1" x14ac:dyDescent="0.2">
      <c r="A8" s="1244" t="s">
        <v>355</v>
      </c>
      <c r="B8" s="1251" t="s">
        <v>538</v>
      </c>
      <c r="C8" s="1252"/>
      <c r="D8" s="1253"/>
      <c r="E8" s="1254" t="s">
        <v>544</v>
      </c>
      <c r="F8" s="1255"/>
      <c r="G8" s="1256"/>
      <c r="H8" s="1234" t="s">
        <v>562</v>
      </c>
      <c r="I8" s="1247" t="s">
        <v>445</v>
      </c>
      <c r="L8" s="724"/>
      <c r="M8" s="724"/>
      <c r="N8" s="724"/>
      <c r="O8" s="724"/>
      <c r="P8" s="724"/>
      <c r="Q8" s="724"/>
      <c r="R8" s="724"/>
    </row>
    <row r="9" spans="1:18" ht="30" customHeight="1" x14ac:dyDescent="0.2">
      <c r="A9" s="1245"/>
      <c r="B9" s="1227" t="s">
        <v>543</v>
      </c>
      <c r="C9" s="1229" t="s">
        <v>568</v>
      </c>
      <c r="D9" s="1230"/>
      <c r="E9" s="1237" t="s">
        <v>539</v>
      </c>
      <c r="F9" s="1239" t="s">
        <v>570</v>
      </c>
      <c r="G9" s="1241" t="s">
        <v>561</v>
      </c>
      <c r="H9" s="1235"/>
      <c r="I9" s="1248"/>
      <c r="L9" s="724"/>
      <c r="M9" s="724"/>
      <c r="N9" s="724"/>
      <c r="O9" s="724"/>
      <c r="P9" s="724"/>
      <c r="Q9" s="724"/>
      <c r="R9" s="724"/>
    </row>
    <row r="10" spans="1:18" ht="30" customHeight="1" thickBot="1" x14ac:dyDescent="0.25">
      <c r="A10" s="1246"/>
      <c r="B10" s="1228"/>
      <c r="C10" s="1003" t="s">
        <v>566</v>
      </c>
      <c r="D10" s="1004" t="s">
        <v>567</v>
      </c>
      <c r="E10" s="1238"/>
      <c r="F10" s="1240"/>
      <c r="G10" s="1242"/>
      <c r="H10" s="1236"/>
      <c r="I10" s="1249"/>
      <c r="L10" s="724"/>
      <c r="M10" s="724"/>
      <c r="N10" s="724"/>
      <c r="O10" s="724"/>
      <c r="P10" s="724"/>
      <c r="Q10" s="724"/>
      <c r="R10" s="724"/>
    </row>
    <row r="11" spans="1:18" ht="15" x14ac:dyDescent="0.2">
      <c r="A11" s="1110" t="s">
        <v>28</v>
      </c>
      <c r="B11" s="1111">
        <v>5500</v>
      </c>
      <c r="C11" s="1112">
        <v>1800</v>
      </c>
      <c r="D11" s="1113">
        <v>11000</v>
      </c>
      <c r="E11" s="1114">
        <f>SUM(B11:D11)</f>
        <v>18300</v>
      </c>
      <c r="F11" s="1115">
        <v>0</v>
      </c>
      <c r="G11" s="1116">
        <v>0</v>
      </c>
      <c r="H11" s="1117">
        <f>SUM(E11:G11)</f>
        <v>18300</v>
      </c>
      <c r="I11" s="1118">
        <v>0</v>
      </c>
      <c r="J11" s="325"/>
      <c r="K11" s="325"/>
      <c r="L11" s="725"/>
      <c r="M11" s="724"/>
      <c r="N11" s="724"/>
      <c r="O11" s="724"/>
      <c r="P11" s="724"/>
      <c r="Q11" s="724"/>
      <c r="R11" s="724"/>
    </row>
    <row r="12" spans="1:18" ht="15" x14ac:dyDescent="0.2">
      <c r="A12" s="639" t="s">
        <v>29</v>
      </c>
      <c r="B12" s="348">
        <v>0</v>
      </c>
      <c r="C12" s="1119">
        <v>0</v>
      </c>
      <c r="D12" s="1120">
        <v>0</v>
      </c>
      <c r="E12" s="1121">
        <f t="shared" ref="E12:E23" si="0">SUM(B12:D12)</f>
        <v>0</v>
      </c>
      <c r="F12" s="1122">
        <v>0</v>
      </c>
      <c r="G12" s="1123">
        <v>0</v>
      </c>
      <c r="H12" s="1124">
        <f t="shared" ref="H12:H23" si="1">SUM(E12:G12)</f>
        <v>0</v>
      </c>
      <c r="I12" s="1125">
        <v>0</v>
      </c>
      <c r="J12" s="325"/>
      <c r="K12" s="325"/>
      <c r="L12" s="725"/>
      <c r="M12" s="724"/>
      <c r="N12" s="724"/>
      <c r="O12" s="724"/>
      <c r="P12" s="724"/>
      <c r="Q12" s="724"/>
      <c r="R12" s="724"/>
    </row>
    <row r="13" spans="1:18" ht="15" x14ac:dyDescent="0.2">
      <c r="A13" s="640" t="s">
        <v>95</v>
      </c>
      <c r="B13" s="353">
        <v>0</v>
      </c>
      <c r="C13" s="1126">
        <v>13000</v>
      </c>
      <c r="D13" s="1127">
        <v>0</v>
      </c>
      <c r="E13" s="1121">
        <f t="shared" si="0"/>
        <v>13000</v>
      </c>
      <c r="F13" s="1128">
        <v>0</v>
      </c>
      <c r="G13" s="1129">
        <v>0</v>
      </c>
      <c r="H13" s="1124">
        <f t="shared" si="1"/>
        <v>13000</v>
      </c>
      <c r="I13" s="1130">
        <v>0</v>
      </c>
      <c r="J13" s="325"/>
      <c r="K13" s="325"/>
      <c r="L13" s="725"/>
      <c r="M13" s="724"/>
      <c r="N13" s="724"/>
      <c r="O13" s="724"/>
      <c r="P13" s="724"/>
      <c r="Q13" s="724"/>
      <c r="R13" s="724"/>
    </row>
    <row r="14" spans="1:18" ht="15" x14ac:dyDescent="0.2">
      <c r="A14" s="640" t="s">
        <v>30</v>
      </c>
      <c r="B14" s="353">
        <v>0</v>
      </c>
      <c r="C14" s="1126">
        <v>0</v>
      </c>
      <c r="D14" s="1127">
        <v>0</v>
      </c>
      <c r="E14" s="1121">
        <f t="shared" si="0"/>
        <v>0</v>
      </c>
      <c r="F14" s="1128">
        <v>0</v>
      </c>
      <c r="G14" s="1129">
        <v>0</v>
      </c>
      <c r="H14" s="1124">
        <f t="shared" si="1"/>
        <v>0</v>
      </c>
      <c r="I14" s="1130">
        <v>0</v>
      </c>
      <c r="J14" s="325"/>
      <c r="K14" s="325"/>
      <c r="L14" s="725"/>
      <c r="M14" s="724"/>
      <c r="N14" s="724"/>
      <c r="O14" s="724"/>
      <c r="P14" s="724"/>
      <c r="Q14" s="724"/>
      <c r="R14" s="724"/>
    </row>
    <row r="15" spans="1:18" ht="15" x14ac:dyDescent="0.2">
      <c r="A15" s="640" t="s">
        <v>31</v>
      </c>
      <c r="B15" s="353">
        <v>400</v>
      </c>
      <c r="C15" s="1126">
        <v>400</v>
      </c>
      <c r="D15" s="1127">
        <v>200</v>
      </c>
      <c r="E15" s="1121">
        <f t="shared" si="0"/>
        <v>1000</v>
      </c>
      <c r="F15" s="1128">
        <v>0</v>
      </c>
      <c r="G15" s="1129">
        <v>0</v>
      </c>
      <c r="H15" s="1124">
        <f t="shared" si="1"/>
        <v>1000</v>
      </c>
      <c r="I15" s="1130">
        <v>0</v>
      </c>
      <c r="J15" s="325"/>
      <c r="K15" s="325"/>
      <c r="L15" s="725"/>
      <c r="M15" s="724"/>
      <c r="N15" s="724"/>
      <c r="O15" s="724"/>
      <c r="P15" s="724"/>
      <c r="Q15" s="724"/>
      <c r="R15" s="724"/>
    </row>
    <row r="16" spans="1:18" ht="15" x14ac:dyDescent="0.2">
      <c r="A16" s="640" t="s">
        <v>32</v>
      </c>
      <c r="B16" s="353">
        <v>50000</v>
      </c>
      <c r="C16" s="1126">
        <v>100</v>
      </c>
      <c r="D16" s="1127">
        <v>160200</v>
      </c>
      <c r="E16" s="1121">
        <f t="shared" si="0"/>
        <v>210300</v>
      </c>
      <c r="F16" s="1128">
        <v>0</v>
      </c>
      <c r="G16" s="1129">
        <v>0</v>
      </c>
      <c r="H16" s="1124">
        <f t="shared" si="1"/>
        <v>210300</v>
      </c>
      <c r="I16" s="1130">
        <v>220100</v>
      </c>
      <c r="J16" s="325"/>
      <c r="K16" s="325"/>
      <c r="L16" s="725"/>
      <c r="M16" s="724"/>
      <c r="N16" s="724"/>
      <c r="O16" s="724"/>
      <c r="P16" s="724"/>
      <c r="Q16" s="724"/>
      <c r="R16" s="724"/>
    </row>
    <row r="17" spans="1:18" ht="15" x14ac:dyDescent="0.2">
      <c r="A17" s="640" t="s">
        <v>33</v>
      </c>
      <c r="B17" s="353">
        <v>0</v>
      </c>
      <c r="C17" s="1126">
        <v>370000</v>
      </c>
      <c r="D17" s="1127">
        <v>70000</v>
      </c>
      <c r="E17" s="1121">
        <f t="shared" si="0"/>
        <v>440000</v>
      </c>
      <c r="F17" s="1128">
        <v>96694</v>
      </c>
      <c r="G17" s="1129">
        <v>0</v>
      </c>
      <c r="H17" s="1124">
        <f t="shared" si="1"/>
        <v>536694</v>
      </c>
      <c r="I17" s="1130">
        <v>130000</v>
      </c>
      <c r="J17" s="325"/>
      <c r="K17" s="325"/>
      <c r="L17" s="725"/>
      <c r="M17" s="724"/>
      <c r="N17" s="724"/>
      <c r="O17" s="724"/>
      <c r="P17" s="724"/>
      <c r="Q17" s="724"/>
      <c r="R17" s="724"/>
    </row>
    <row r="18" spans="1:18" ht="15" x14ac:dyDescent="0.2">
      <c r="A18" s="640" t="s">
        <v>34</v>
      </c>
      <c r="B18" s="353">
        <v>0</v>
      </c>
      <c r="C18" s="1126">
        <v>0</v>
      </c>
      <c r="D18" s="1127">
        <v>500</v>
      </c>
      <c r="E18" s="1121">
        <f t="shared" si="0"/>
        <v>500</v>
      </c>
      <c r="F18" s="1128">
        <v>0</v>
      </c>
      <c r="G18" s="1129">
        <v>0</v>
      </c>
      <c r="H18" s="1124">
        <f t="shared" si="1"/>
        <v>500</v>
      </c>
      <c r="I18" s="1130">
        <v>500</v>
      </c>
      <c r="J18" s="325"/>
      <c r="K18" s="325"/>
      <c r="L18" s="725"/>
      <c r="M18" s="724"/>
      <c r="N18" s="724"/>
      <c r="O18" s="724"/>
      <c r="P18" s="724"/>
      <c r="Q18" s="724"/>
      <c r="R18" s="724"/>
    </row>
    <row r="19" spans="1:18" ht="15" x14ac:dyDescent="0.2">
      <c r="A19" s="640" t="s">
        <v>35</v>
      </c>
      <c r="B19" s="353">
        <v>3000</v>
      </c>
      <c r="C19" s="1126">
        <v>2400</v>
      </c>
      <c r="D19" s="1127">
        <v>5000</v>
      </c>
      <c r="E19" s="1121">
        <f t="shared" si="0"/>
        <v>10400</v>
      </c>
      <c r="F19" s="1128">
        <v>0</v>
      </c>
      <c r="G19" s="1129">
        <v>1300</v>
      </c>
      <c r="H19" s="1124">
        <f t="shared" si="1"/>
        <v>11700</v>
      </c>
      <c r="I19" s="1130">
        <v>0</v>
      </c>
      <c r="J19" s="325"/>
      <c r="K19" s="325"/>
      <c r="L19" s="725"/>
      <c r="M19" s="724"/>
      <c r="N19" s="724"/>
      <c r="O19" s="724"/>
      <c r="P19" s="724"/>
      <c r="Q19" s="724"/>
      <c r="R19" s="724"/>
    </row>
    <row r="20" spans="1:18" ht="15" x14ac:dyDescent="0.2">
      <c r="A20" s="640" t="s">
        <v>37</v>
      </c>
      <c r="B20" s="353">
        <v>9000</v>
      </c>
      <c r="C20" s="1126">
        <v>35000</v>
      </c>
      <c r="D20" s="1127">
        <v>84000</v>
      </c>
      <c r="E20" s="1121">
        <f t="shared" si="0"/>
        <v>128000</v>
      </c>
      <c r="F20" s="1128">
        <v>0</v>
      </c>
      <c r="G20" s="1129">
        <v>0</v>
      </c>
      <c r="H20" s="1124">
        <f t="shared" si="1"/>
        <v>128000</v>
      </c>
      <c r="I20" s="1130">
        <v>0</v>
      </c>
      <c r="J20" s="325"/>
      <c r="K20" s="325"/>
      <c r="L20" s="725"/>
      <c r="M20" s="724"/>
      <c r="N20" s="724"/>
      <c r="O20" s="724"/>
      <c r="P20" s="724"/>
      <c r="Q20" s="724"/>
      <c r="R20" s="724"/>
    </row>
    <row r="21" spans="1:18" ht="15" x14ac:dyDescent="0.2">
      <c r="A21" s="640" t="s">
        <v>84</v>
      </c>
      <c r="B21" s="353">
        <v>0</v>
      </c>
      <c r="C21" s="1126">
        <v>0</v>
      </c>
      <c r="D21" s="1127">
        <v>0</v>
      </c>
      <c r="E21" s="1121">
        <f t="shared" si="0"/>
        <v>0</v>
      </c>
      <c r="F21" s="1128">
        <v>0</v>
      </c>
      <c r="G21" s="1129">
        <v>0</v>
      </c>
      <c r="H21" s="1124">
        <f t="shared" si="1"/>
        <v>0</v>
      </c>
      <c r="I21" s="1130">
        <v>0</v>
      </c>
      <c r="J21" s="325"/>
      <c r="K21" s="325"/>
      <c r="L21" s="725"/>
      <c r="M21" s="724"/>
      <c r="N21" s="724"/>
      <c r="O21" s="724"/>
      <c r="P21" s="724"/>
      <c r="Q21" s="724"/>
      <c r="R21" s="724"/>
    </row>
    <row r="22" spans="1:18" ht="15" x14ac:dyDescent="0.2">
      <c r="A22" s="640" t="s">
        <v>276</v>
      </c>
      <c r="B22" s="253">
        <v>0</v>
      </c>
      <c r="C22" s="1131">
        <v>0</v>
      </c>
      <c r="D22" s="1132">
        <v>0</v>
      </c>
      <c r="E22" s="1121">
        <f t="shared" si="0"/>
        <v>0</v>
      </c>
      <c r="F22" s="1128">
        <v>0</v>
      </c>
      <c r="G22" s="1129">
        <v>0</v>
      </c>
      <c r="H22" s="1124">
        <f t="shared" si="1"/>
        <v>0</v>
      </c>
      <c r="I22" s="1130">
        <v>0</v>
      </c>
      <c r="J22" s="325"/>
      <c r="K22" s="325"/>
      <c r="L22" s="725"/>
      <c r="M22" s="724"/>
      <c r="N22" s="724"/>
      <c r="O22" s="724"/>
      <c r="P22" s="724"/>
      <c r="Q22" s="724"/>
      <c r="R22" s="724"/>
    </row>
    <row r="23" spans="1:18" ht="34.5" customHeight="1" thickBot="1" x14ac:dyDescent="0.25">
      <c r="A23" s="1133" t="s">
        <v>297</v>
      </c>
      <c r="B23" s="253">
        <v>0</v>
      </c>
      <c r="C23" s="1131">
        <v>0</v>
      </c>
      <c r="D23" s="1132">
        <v>0</v>
      </c>
      <c r="E23" s="1191">
        <f t="shared" si="0"/>
        <v>0</v>
      </c>
      <c r="F23" s="1128">
        <v>0</v>
      </c>
      <c r="G23" s="1129">
        <v>0</v>
      </c>
      <c r="H23" s="1192">
        <f t="shared" si="1"/>
        <v>0</v>
      </c>
      <c r="I23" s="1130">
        <v>0</v>
      </c>
      <c r="J23" s="325"/>
      <c r="K23" s="325"/>
      <c r="L23" s="725"/>
      <c r="M23" s="724"/>
      <c r="N23" s="724"/>
      <c r="O23" s="724"/>
      <c r="P23" s="724"/>
      <c r="Q23" s="724"/>
      <c r="R23" s="724"/>
    </row>
    <row r="24" spans="1:18" ht="15.75" thickBot="1" x14ac:dyDescent="0.25">
      <c r="A24" s="1134" t="s">
        <v>298</v>
      </c>
      <c r="B24" s="1135">
        <f t="shared" ref="B24:I24" si="2">SUM(B11:B23)</f>
        <v>67900</v>
      </c>
      <c r="C24" s="1136">
        <f t="shared" si="2"/>
        <v>422700</v>
      </c>
      <c r="D24" s="1137">
        <f t="shared" si="2"/>
        <v>330900</v>
      </c>
      <c r="E24" s="1138">
        <f t="shared" si="2"/>
        <v>821500</v>
      </c>
      <c r="F24" s="1138">
        <f t="shared" si="2"/>
        <v>96694</v>
      </c>
      <c r="G24" s="1139">
        <f t="shared" si="2"/>
        <v>1300</v>
      </c>
      <c r="H24" s="1140">
        <f t="shared" si="2"/>
        <v>919494</v>
      </c>
      <c r="I24" s="1141">
        <f t="shared" si="2"/>
        <v>350600</v>
      </c>
      <c r="J24" s="581"/>
      <c r="K24" s="581"/>
      <c r="L24" s="725"/>
      <c r="M24" s="724"/>
      <c r="N24" s="724"/>
      <c r="O24" s="724"/>
      <c r="P24" s="724"/>
      <c r="Q24" s="724"/>
      <c r="R24" s="724"/>
    </row>
    <row r="25" spans="1:18" x14ac:dyDescent="0.2">
      <c r="A25" s="582"/>
      <c r="B25" s="713"/>
      <c r="C25" s="713"/>
      <c r="D25" s="713"/>
      <c r="E25" s="713"/>
      <c r="F25" s="713"/>
      <c r="G25" s="713"/>
      <c r="H25" s="713"/>
      <c r="I25" s="713"/>
      <c r="J25" s="726"/>
      <c r="K25" s="726"/>
      <c r="L25" s="724"/>
      <c r="M25" s="724"/>
      <c r="N25" s="724"/>
      <c r="O25" s="724"/>
      <c r="P25" s="724"/>
      <c r="Q25" s="724"/>
      <c r="R25" s="724"/>
    </row>
    <row r="26" spans="1:18" x14ac:dyDescent="0.2">
      <c r="A26" s="582"/>
      <c r="B26" s="713"/>
      <c r="C26" s="713"/>
      <c r="D26" s="713"/>
      <c r="E26" s="713"/>
      <c r="F26" s="713"/>
      <c r="G26" s="713"/>
      <c r="H26" s="713"/>
      <c r="I26" s="713"/>
      <c r="J26" s="724"/>
      <c r="K26" s="724"/>
      <c r="L26" s="724"/>
      <c r="M26" s="724"/>
      <c r="N26" s="724"/>
      <c r="O26" s="724"/>
      <c r="P26" s="724"/>
      <c r="Q26" s="724"/>
      <c r="R26" s="724"/>
    </row>
    <row r="27" spans="1:18" ht="36" customHeight="1" x14ac:dyDescent="0.2">
      <c r="A27" s="1257" t="s">
        <v>601</v>
      </c>
      <c r="B27" s="1257"/>
      <c r="C27" s="1257"/>
      <c r="D27" s="1257"/>
      <c r="E27" s="1257"/>
      <c r="F27" s="1257"/>
      <c r="G27" s="1257"/>
      <c r="H27" s="1257"/>
      <c r="I27" s="1257"/>
      <c r="J27" s="724"/>
      <c r="K27" s="724"/>
      <c r="L27" s="724"/>
      <c r="M27" s="724"/>
      <c r="N27" s="724"/>
      <c r="O27" s="724"/>
      <c r="P27" s="724"/>
      <c r="Q27" s="724"/>
      <c r="R27" s="724"/>
    </row>
    <row r="28" spans="1:18" ht="15.75" thickBot="1" x14ac:dyDescent="0.25">
      <c r="A28" s="324"/>
      <c r="B28" s="580"/>
      <c r="C28" s="580"/>
      <c r="D28" s="580"/>
      <c r="E28" s="580"/>
      <c r="F28" s="580"/>
      <c r="G28" s="578"/>
      <c r="H28" s="578"/>
      <c r="I28" s="580" t="s">
        <v>0</v>
      </c>
      <c r="J28" s="724"/>
      <c r="K28" s="724"/>
      <c r="L28" s="724"/>
      <c r="M28" s="724"/>
      <c r="N28" s="724"/>
      <c r="O28" s="724"/>
      <c r="P28" s="724"/>
      <c r="Q28" s="724"/>
      <c r="R28" s="724"/>
    </row>
    <row r="29" spans="1:18" ht="33.75" customHeight="1" x14ac:dyDescent="0.2">
      <c r="A29" s="1234" t="s">
        <v>355</v>
      </c>
      <c r="B29" s="1258" t="s">
        <v>538</v>
      </c>
      <c r="C29" s="1259"/>
      <c r="D29" s="1260"/>
      <c r="E29" s="1254" t="s">
        <v>544</v>
      </c>
      <c r="F29" s="1255"/>
      <c r="G29" s="1256"/>
      <c r="H29" s="1234" t="s">
        <v>562</v>
      </c>
      <c r="I29" s="1231" t="s">
        <v>445</v>
      </c>
      <c r="L29" s="724"/>
      <c r="M29" s="724"/>
      <c r="N29" s="724"/>
      <c r="O29" s="724"/>
      <c r="P29" s="724"/>
      <c r="Q29" s="724"/>
      <c r="R29" s="724"/>
    </row>
    <row r="30" spans="1:18" s="883" customFormat="1" ht="30" customHeight="1" x14ac:dyDescent="0.2">
      <c r="A30" s="1235"/>
      <c r="B30" s="1227" t="s">
        <v>543</v>
      </c>
      <c r="C30" s="1229" t="s">
        <v>568</v>
      </c>
      <c r="D30" s="1230"/>
      <c r="E30" s="1237" t="s">
        <v>539</v>
      </c>
      <c r="F30" s="1239" t="s">
        <v>570</v>
      </c>
      <c r="G30" s="1241" t="s">
        <v>561</v>
      </c>
      <c r="H30" s="1235"/>
      <c r="I30" s="1232"/>
      <c r="L30" s="1005"/>
      <c r="M30" s="1005"/>
      <c r="N30" s="1005"/>
      <c r="O30" s="1005"/>
      <c r="P30" s="1005"/>
      <c r="Q30" s="1005"/>
      <c r="R30" s="1005"/>
    </row>
    <row r="31" spans="1:18" s="883" customFormat="1" ht="30" customHeight="1" thickBot="1" x14ac:dyDescent="0.25">
      <c r="A31" s="1236"/>
      <c r="B31" s="1228"/>
      <c r="C31" s="1003" t="s">
        <v>566</v>
      </c>
      <c r="D31" s="1004" t="s">
        <v>567</v>
      </c>
      <c r="E31" s="1238"/>
      <c r="F31" s="1240"/>
      <c r="G31" s="1242"/>
      <c r="H31" s="1236"/>
      <c r="I31" s="1233"/>
      <c r="L31" s="1005"/>
      <c r="M31" s="1005"/>
      <c r="N31" s="1005"/>
      <c r="O31" s="1005"/>
      <c r="P31" s="1005"/>
      <c r="Q31" s="1005"/>
      <c r="R31" s="1005"/>
    </row>
    <row r="32" spans="1:18" ht="15" x14ac:dyDescent="0.2">
      <c r="A32" s="1142" t="s">
        <v>28</v>
      </c>
      <c r="B32" s="1111">
        <v>0</v>
      </c>
      <c r="C32" s="1112">
        <v>0</v>
      </c>
      <c r="D32" s="1113">
        <v>0</v>
      </c>
      <c r="E32" s="1114">
        <f>SUM(B32:D32)</f>
        <v>0</v>
      </c>
      <c r="F32" s="1115">
        <v>0</v>
      </c>
      <c r="G32" s="1116">
        <v>0</v>
      </c>
      <c r="H32" s="1117">
        <f>SUM(E32:G32)</f>
        <v>0</v>
      </c>
      <c r="I32" s="1118">
        <v>0</v>
      </c>
      <c r="J32" s="325"/>
      <c r="K32" s="325"/>
      <c r="L32" s="325"/>
      <c r="M32" s="325"/>
      <c r="O32" s="724"/>
      <c r="P32" s="724"/>
      <c r="Q32" s="724"/>
      <c r="R32" s="724"/>
    </row>
    <row r="33" spans="1:18" ht="15" x14ac:dyDescent="0.2">
      <c r="A33" s="639" t="s">
        <v>29</v>
      </c>
      <c r="B33" s="348">
        <v>82000</v>
      </c>
      <c r="C33" s="1119">
        <v>35000</v>
      </c>
      <c r="D33" s="1120">
        <v>164200</v>
      </c>
      <c r="E33" s="1121">
        <f t="shared" ref="E33:E44" si="3">SUM(B33:D33)</f>
        <v>281200</v>
      </c>
      <c r="F33" s="1122">
        <v>0</v>
      </c>
      <c r="G33" s="1123">
        <v>55600</v>
      </c>
      <c r="H33" s="1124">
        <f t="shared" ref="H33:H44" si="4">SUM(E33:G33)</f>
        <v>336800</v>
      </c>
      <c r="I33" s="1125">
        <v>250000</v>
      </c>
      <c r="J33" s="325"/>
      <c r="K33" s="325"/>
      <c r="L33" s="325"/>
      <c r="M33" s="325"/>
      <c r="O33" s="724"/>
      <c r="P33" s="724"/>
      <c r="Q33" s="724"/>
      <c r="R33" s="724"/>
    </row>
    <row r="34" spans="1:18" ht="15" x14ac:dyDescent="0.2">
      <c r="A34" s="640" t="s">
        <v>95</v>
      </c>
      <c r="B34" s="353">
        <v>12000</v>
      </c>
      <c r="C34" s="1126">
        <v>14000</v>
      </c>
      <c r="D34" s="1127">
        <v>135200</v>
      </c>
      <c r="E34" s="1121">
        <f t="shared" si="3"/>
        <v>161200</v>
      </c>
      <c r="F34" s="1128">
        <v>0</v>
      </c>
      <c r="G34" s="1129">
        <v>1500</v>
      </c>
      <c r="H34" s="1124">
        <f t="shared" si="4"/>
        <v>162700</v>
      </c>
      <c r="I34" s="1130">
        <v>203600</v>
      </c>
      <c r="J34" s="325"/>
      <c r="K34" s="325"/>
      <c r="L34" s="325"/>
      <c r="M34" s="325"/>
      <c r="O34" s="724"/>
      <c r="P34" s="724"/>
      <c r="Q34" s="724"/>
      <c r="R34" s="724"/>
    </row>
    <row r="35" spans="1:18" ht="15" x14ac:dyDescent="0.2">
      <c r="A35" s="640" t="s">
        <v>30</v>
      </c>
      <c r="B35" s="353">
        <v>6000</v>
      </c>
      <c r="C35" s="1126">
        <v>18000</v>
      </c>
      <c r="D35" s="1127">
        <v>65000</v>
      </c>
      <c r="E35" s="1121">
        <f t="shared" si="3"/>
        <v>89000</v>
      </c>
      <c r="F35" s="1128">
        <v>0</v>
      </c>
      <c r="G35" s="1129">
        <v>15000</v>
      </c>
      <c r="H35" s="1124">
        <f t="shared" si="4"/>
        <v>104000</v>
      </c>
      <c r="I35" s="1130">
        <v>20000</v>
      </c>
      <c r="J35" s="325"/>
      <c r="K35" s="325"/>
      <c r="L35" s="325"/>
      <c r="M35" s="325"/>
      <c r="O35" s="724"/>
      <c r="P35" s="724"/>
      <c r="Q35" s="724"/>
      <c r="R35" s="724"/>
    </row>
    <row r="36" spans="1:18" ht="15" x14ac:dyDescent="0.2">
      <c r="A36" s="640" t="s">
        <v>31</v>
      </c>
      <c r="B36" s="353">
        <v>8000</v>
      </c>
      <c r="C36" s="1126">
        <v>180000</v>
      </c>
      <c r="D36" s="1127">
        <v>130100</v>
      </c>
      <c r="E36" s="1121">
        <f t="shared" si="3"/>
        <v>318100</v>
      </c>
      <c r="F36" s="1128">
        <v>50989</v>
      </c>
      <c r="G36" s="1129">
        <v>48000</v>
      </c>
      <c r="H36" s="1124">
        <f t="shared" si="4"/>
        <v>417089</v>
      </c>
      <c r="I36" s="1130">
        <v>0</v>
      </c>
      <c r="J36" s="325"/>
      <c r="K36" s="325"/>
      <c r="L36" s="325"/>
      <c r="M36" s="325"/>
      <c r="O36" s="724"/>
      <c r="P36" s="724"/>
      <c r="Q36" s="724"/>
      <c r="R36" s="724"/>
    </row>
    <row r="37" spans="1:18" ht="15" x14ac:dyDescent="0.2">
      <c r="A37" s="640" t="s">
        <v>32</v>
      </c>
      <c r="B37" s="353">
        <v>0</v>
      </c>
      <c r="C37" s="1126">
        <v>0</v>
      </c>
      <c r="D37" s="1127">
        <v>0</v>
      </c>
      <c r="E37" s="1121">
        <f t="shared" si="3"/>
        <v>0</v>
      </c>
      <c r="F37" s="1128">
        <v>0</v>
      </c>
      <c r="G37" s="1129">
        <v>0</v>
      </c>
      <c r="H37" s="1124">
        <f t="shared" si="4"/>
        <v>0</v>
      </c>
      <c r="I37" s="1130">
        <v>0</v>
      </c>
      <c r="J37" s="325"/>
      <c r="K37" s="325"/>
      <c r="L37" s="325"/>
      <c r="M37" s="325"/>
      <c r="O37" s="724"/>
      <c r="P37" s="724"/>
      <c r="Q37" s="724"/>
      <c r="R37" s="724"/>
    </row>
    <row r="38" spans="1:18" ht="15" x14ac:dyDescent="0.2">
      <c r="A38" s="640" t="s">
        <v>33</v>
      </c>
      <c r="B38" s="353">
        <v>0</v>
      </c>
      <c r="C38" s="1126">
        <v>9000</v>
      </c>
      <c r="D38" s="1127">
        <v>0</v>
      </c>
      <c r="E38" s="1121">
        <f t="shared" si="3"/>
        <v>9000</v>
      </c>
      <c r="F38" s="1128">
        <v>0</v>
      </c>
      <c r="G38" s="1129">
        <v>0</v>
      </c>
      <c r="H38" s="1124">
        <f t="shared" si="4"/>
        <v>9000</v>
      </c>
      <c r="I38" s="1130">
        <v>24100</v>
      </c>
      <c r="J38" s="325"/>
      <c r="K38" s="325"/>
      <c r="L38" s="325"/>
      <c r="M38" s="325"/>
      <c r="O38" s="724"/>
      <c r="P38" s="724"/>
      <c r="Q38" s="724"/>
      <c r="R38" s="724"/>
    </row>
    <row r="39" spans="1:18" ht="15" x14ac:dyDescent="0.2">
      <c r="A39" s="640" t="s">
        <v>34</v>
      </c>
      <c r="B39" s="353">
        <v>0</v>
      </c>
      <c r="C39" s="1126">
        <v>0</v>
      </c>
      <c r="D39" s="1127">
        <v>0</v>
      </c>
      <c r="E39" s="1121">
        <f t="shared" si="3"/>
        <v>0</v>
      </c>
      <c r="F39" s="1128">
        <v>0</v>
      </c>
      <c r="G39" s="1129">
        <v>0</v>
      </c>
      <c r="H39" s="1124">
        <f t="shared" si="4"/>
        <v>0</v>
      </c>
      <c r="I39" s="1130">
        <v>0</v>
      </c>
      <c r="J39" s="325"/>
      <c r="K39" s="325"/>
      <c r="L39" s="325"/>
      <c r="M39" s="325"/>
      <c r="O39" s="724"/>
      <c r="P39" s="724"/>
      <c r="Q39" s="724"/>
      <c r="R39" s="724"/>
    </row>
    <row r="40" spans="1:18" ht="15" x14ac:dyDescent="0.2">
      <c r="A40" s="640" t="s">
        <v>35</v>
      </c>
      <c r="B40" s="353">
        <v>0</v>
      </c>
      <c r="C40" s="1126">
        <v>0</v>
      </c>
      <c r="D40" s="1127">
        <v>0</v>
      </c>
      <c r="E40" s="1121">
        <f t="shared" si="3"/>
        <v>0</v>
      </c>
      <c r="F40" s="1128">
        <v>0</v>
      </c>
      <c r="G40" s="1129">
        <v>0</v>
      </c>
      <c r="H40" s="1124">
        <f t="shared" si="4"/>
        <v>0</v>
      </c>
      <c r="I40" s="1130">
        <v>0</v>
      </c>
      <c r="J40" s="325"/>
      <c r="K40" s="325"/>
      <c r="L40" s="325"/>
      <c r="M40" s="325"/>
      <c r="O40" s="724"/>
      <c r="P40" s="724"/>
      <c r="Q40" s="724"/>
      <c r="R40" s="724"/>
    </row>
    <row r="41" spans="1:18" ht="15" x14ac:dyDescent="0.2">
      <c r="A41" s="640" t="s">
        <v>37</v>
      </c>
      <c r="B41" s="353">
        <v>5000</v>
      </c>
      <c r="C41" s="1126">
        <v>60000</v>
      </c>
      <c r="D41" s="1127">
        <v>12000</v>
      </c>
      <c r="E41" s="1121">
        <f t="shared" si="3"/>
        <v>77000</v>
      </c>
      <c r="F41" s="1128">
        <v>0</v>
      </c>
      <c r="G41" s="1129">
        <v>0</v>
      </c>
      <c r="H41" s="1124">
        <f t="shared" si="4"/>
        <v>77000</v>
      </c>
      <c r="I41" s="1130">
        <v>0</v>
      </c>
      <c r="J41" s="325"/>
      <c r="K41" s="325"/>
      <c r="L41" s="325"/>
      <c r="M41" s="325"/>
      <c r="O41" s="724"/>
      <c r="P41" s="724"/>
      <c r="Q41" s="724"/>
      <c r="R41" s="724"/>
    </row>
    <row r="42" spans="1:18" ht="15" x14ac:dyDescent="0.2">
      <c r="A42" s="640" t="s">
        <v>84</v>
      </c>
      <c r="B42" s="353">
        <v>0</v>
      </c>
      <c r="C42" s="1126">
        <v>0</v>
      </c>
      <c r="D42" s="1127">
        <v>0</v>
      </c>
      <c r="E42" s="1121">
        <f t="shared" si="3"/>
        <v>0</v>
      </c>
      <c r="F42" s="1128">
        <v>0</v>
      </c>
      <c r="G42" s="1129">
        <v>0</v>
      </c>
      <c r="H42" s="1124">
        <f t="shared" si="4"/>
        <v>0</v>
      </c>
      <c r="I42" s="1130">
        <v>0</v>
      </c>
      <c r="J42" s="325"/>
      <c r="K42" s="325"/>
      <c r="L42" s="325"/>
      <c r="M42" s="325"/>
      <c r="O42" s="724"/>
      <c r="P42" s="724"/>
      <c r="Q42" s="724"/>
      <c r="R42" s="724"/>
    </row>
    <row r="43" spans="1:18" ht="15" x14ac:dyDescent="0.2">
      <c r="A43" s="640" t="s">
        <v>276</v>
      </c>
      <c r="B43" s="253">
        <v>14000</v>
      </c>
      <c r="C43" s="1131">
        <v>37000</v>
      </c>
      <c r="D43" s="1132">
        <v>300000</v>
      </c>
      <c r="E43" s="1121">
        <f t="shared" si="3"/>
        <v>351000</v>
      </c>
      <c r="F43" s="1128">
        <v>3355</v>
      </c>
      <c r="G43" s="1129">
        <v>40000</v>
      </c>
      <c r="H43" s="1124">
        <f t="shared" si="4"/>
        <v>394355</v>
      </c>
      <c r="I43" s="1130">
        <v>0</v>
      </c>
      <c r="J43" s="325"/>
      <c r="K43" s="325"/>
      <c r="L43" s="325"/>
      <c r="M43" s="325"/>
      <c r="O43" s="724"/>
      <c r="P43" s="724"/>
      <c r="Q43" s="724"/>
      <c r="R43" s="724"/>
    </row>
    <row r="44" spans="1:18" ht="30.75" thickBot="1" x14ac:dyDescent="0.25">
      <c r="A44" s="1143" t="s">
        <v>297</v>
      </c>
      <c r="B44" s="253">
        <v>0</v>
      </c>
      <c r="C44" s="1131">
        <v>0</v>
      </c>
      <c r="D44" s="1132">
        <v>0</v>
      </c>
      <c r="E44" s="1191">
        <f t="shared" si="3"/>
        <v>0</v>
      </c>
      <c r="F44" s="1128">
        <v>0</v>
      </c>
      <c r="G44" s="1129">
        <v>10000</v>
      </c>
      <c r="H44" s="1192">
        <f t="shared" si="4"/>
        <v>10000</v>
      </c>
      <c r="I44" s="1130">
        <v>0</v>
      </c>
      <c r="J44" s="325"/>
      <c r="K44" s="325"/>
      <c r="L44" s="325"/>
      <c r="M44" s="325"/>
      <c r="O44" s="724"/>
      <c r="P44" s="724"/>
      <c r="Q44" s="724"/>
      <c r="R44" s="724"/>
    </row>
    <row r="45" spans="1:18" ht="15.75" thickBot="1" x14ac:dyDescent="0.25">
      <c r="A45" s="1134" t="s">
        <v>298</v>
      </c>
      <c r="B45" s="1135">
        <f t="shared" ref="B45:I45" si="5">SUM(B32:B44)</f>
        <v>127000</v>
      </c>
      <c r="C45" s="1136">
        <f t="shared" si="5"/>
        <v>353000</v>
      </c>
      <c r="D45" s="1137">
        <f t="shared" si="5"/>
        <v>806500</v>
      </c>
      <c r="E45" s="1138">
        <f t="shared" si="5"/>
        <v>1286500</v>
      </c>
      <c r="F45" s="1138">
        <f t="shared" si="5"/>
        <v>54344</v>
      </c>
      <c r="G45" s="1139">
        <f t="shared" si="5"/>
        <v>170100</v>
      </c>
      <c r="H45" s="1140">
        <f t="shared" si="5"/>
        <v>1510944</v>
      </c>
      <c r="I45" s="1141">
        <f t="shared" si="5"/>
        <v>497700</v>
      </c>
      <c r="J45" s="325"/>
      <c r="K45" s="325"/>
      <c r="L45" s="325"/>
      <c r="M45" s="325"/>
      <c r="O45" s="724"/>
      <c r="P45" s="724"/>
      <c r="Q45" s="724"/>
      <c r="R45" s="724"/>
    </row>
    <row r="46" spans="1:18" x14ac:dyDescent="0.2">
      <c r="A46" s="582"/>
      <c r="B46" s="713"/>
      <c r="C46" s="713"/>
      <c r="D46" s="713"/>
      <c r="E46" s="713"/>
      <c r="F46" s="713"/>
      <c r="G46" s="713"/>
      <c r="H46" s="713"/>
      <c r="I46" s="713"/>
      <c r="J46" s="726"/>
      <c r="K46" s="726"/>
      <c r="L46" s="724"/>
      <c r="M46" s="724"/>
      <c r="N46" s="724"/>
      <c r="O46" s="724"/>
      <c r="P46" s="724"/>
      <c r="Q46" s="724"/>
      <c r="R46" s="724"/>
    </row>
    <row r="47" spans="1:18" x14ac:dyDescent="0.2">
      <c r="A47" s="582"/>
      <c r="B47" s="713"/>
      <c r="C47" s="713"/>
      <c r="D47" s="713"/>
      <c r="E47" s="713"/>
      <c r="F47" s="713"/>
      <c r="G47" s="713"/>
      <c r="H47" s="713"/>
      <c r="I47" s="713"/>
      <c r="J47" s="726"/>
      <c r="K47" s="726"/>
      <c r="L47" s="724"/>
      <c r="M47" s="724"/>
      <c r="N47" s="724"/>
      <c r="O47" s="724"/>
      <c r="P47" s="724"/>
      <c r="Q47" s="724"/>
      <c r="R47" s="724"/>
    </row>
    <row r="48" spans="1:18" ht="24" customHeight="1" x14ac:dyDescent="0.2">
      <c r="A48" s="1257" t="s">
        <v>602</v>
      </c>
      <c r="B48" s="1257"/>
      <c r="C48" s="1257"/>
      <c r="D48" s="1257"/>
      <c r="E48" s="1257"/>
      <c r="F48" s="1257"/>
      <c r="G48" s="1257"/>
      <c r="H48" s="1257"/>
      <c r="I48" s="1257"/>
      <c r="J48" s="724"/>
      <c r="K48" s="724"/>
      <c r="L48" s="724"/>
      <c r="M48" s="724"/>
      <c r="N48" s="724"/>
      <c r="O48" s="724"/>
      <c r="P48" s="724"/>
      <c r="Q48" s="724"/>
      <c r="R48" s="724"/>
    </row>
    <row r="49" spans="1:18" ht="15.75" thickBot="1" x14ac:dyDescent="0.25">
      <c r="A49" s="324"/>
      <c r="B49" s="580"/>
      <c r="C49" s="580"/>
      <c r="D49" s="580"/>
      <c r="E49" s="580"/>
      <c r="F49" s="580"/>
      <c r="G49" s="578"/>
      <c r="H49" s="578"/>
      <c r="I49" s="580" t="s">
        <v>0</v>
      </c>
      <c r="J49" s="724"/>
      <c r="K49" s="724"/>
      <c r="L49" s="724"/>
      <c r="M49" s="724"/>
      <c r="N49" s="724"/>
      <c r="O49" s="724"/>
      <c r="P49" s="724"/>
      <c r="Q49" s="724"/>
      <c r="R49" s="724"/>
    </row>
    <row r="50" spans="1:18" ht="30" customHeight="1" x14ac:dyDescent="0.2">
      <c r="A50" s="1234" t="s">
        <v>355</v>
      </c>
      <c r="B50" s="1258" t="s">
        <v>556</v>
      </c>
      <c r="C50" s="1259"/>
      <c r="D50" s="1260"/>
      <c r="E50" s="1254" t="s">
        <v>565</v>
      </c>
      <c r="F50" s="1255"/>
      <c r="G50" s="1256"/>
      <c r="H50" s="1234" t="s">
        <v>563</v>
      </c>
      <c r="I50" s="1231" t="s">
        <v>569</v>
      </c>
      <c r="J50" s="724"/>
      <c r="K50" s="724"/>
      <c r="L50" s="724"/>
      <c r="M50" s="724"/>
      <c r="N50" s="724"/>
      <c r="O50" s="724"/>
      <c r="P50" s="724"/>
      <c r="Q50" s="724"/>
      <c r="R50" s="724"/>
    </row>
    <row r="51" spans="1:18" s="883" customFormat="1" ht="30" customHeight="1" x14ac:dyDescent="0.2">
      <c r="A51" s="1235"/>
      <c r="B51" s="1227" t="s">
        <v>543</v>
      </c>
      <c r="C51" s="1229" t="s">
        <v>568</v>
      </c>
      <c r="D51" s="1230"/>
      <c r="E51" s="1237" t="s">
        <v>539</v>
      </c>
      <c r="F51" s="1239" t="s">
        <v>570</v>
      </c>
      <c r="G51" s="1241" t="s">
        <v>561</v>
      </c>
      <c r="H51" s="1235"/>
      <c r="I51" s="1232"/>
      <c r="J51" s="1005"/>
      <c r="K51" s="1005"/>
      <c r="L51" s="1005"/>
      <c r="M51" s="1005"/>
      <c r="N51" s="1005"/>
      <c r="O51" s="1005"/>
      <c r="P51" s="1005"/>
      <c r="Q51" s="1005"/>
      <c r="R51" s="1005"/>
    </row>
    <row r="52" spans="1:18" s="883" customFormat="1" ht="30" customHeight="1" thickBot="1" x14ac:dyDescent="0.25">
      <c r="A52" s="1236"/>
      <c r="B52" s="1228"/>
      <c r="C52" s="1003" t="s">
        <v>566</v>
      </c>
      <c r="D52" s="1004" t="s">
        <v>567</v>
      </c>
      <c r="E52" s="1238"/>
      <c r="F52" s="1240"/>
      <c r="G52" s="1242"/>
      <c r="H52" s="1236"/>
      <c r="I52" s="1233"/>
      <c r="J52" s="1005"/>
      <c r="K52" s="1005"/>
      <c r="L52" s="1005"/>
      <c r="M52" s="1005"/>
      <c r="N52" s="1005"/>
      <c r="O52" s="1005"/>
      <c r="P52" s="1005"/>
      <c r="Q52" s="1005"/>
      <c r="R52" s="1005"/>
    </row>
    <row r="53" spans="1:18" ht="15" x14ac:dyDescent="0.2">
      <c r="A53" s="1142" t="s">
        <v>28</v>
      </c>
      <c r="B53" s="1111">
        <v>0</v>
      </c>
      <c r="C53" s="1112">
        <v>0</v>
      </c>
      <c r="D53" s="1113">
        <v>0</v>
      </c>
      <c r="E53" s="1114">
        <f>SUM(B53:D53)</f>
        <v>0</v>
      </c>
      <c r="F53" s="1115">
        <v>0</v>
      </c>
      <c r="G53" s="1116">
        <v>0</v>
      </c>
      <c r="H53" s="1117">
        <f>SUM(E53:G53)</f>
        <v>0</v>
      </c>
      <c r="I53" s="1118">
        <v>0</v>
      </c>
      <c r="J53" s="724"/>
      <c r="K53" s="724"/>
      <c r="L53" s="724"/>
      <c r="M53" s="724"/>
      <c r="N53" s="724"/>
      <c r="O53" s="724"/>
      <c r="P53" s="724"/>
      <c r="Q53" s="724"/>
      <c r="R53" s="724"/>
    </row>
    <row r="54" spans="1:18" ht="15" x14ac:dyDescent="0.2">
      <c r="A54" s="639" t="s">
        <v>29</v>
      </c>
      <c r="B54" s="348">
        <v>90000</v>
      </c>
      <c r="C54" s="1119">
        <v>30000</v>
      </c>
      <c r="D54" s="1120">
        <v>0</v>
      </c>
      <c r="E54" s="1121">
        <f t="shared" ref="E54:E65" si="6">SUM(B54:D54)</f>
        <v>120000</v>
      </c>
      <c r="F54" s="1122">
        <v>0</v>
      </c>
      <c r="G54" s="1123">
        <v>0</v>
      </c>
      <c r="H54" s="1124">
        <f t="shared" ref="H54:H65" si="7">SUM(E54:G54)</f>
        <v>120000</v>
      </c>
      <c r="I54" s="1125">
        <v>0</v>
      </c>
      <c r="J54" s="724"/>
      <c r="K54" s="724"/>
      <c r="L54" s="724"/>
      <c r="M54" s="724"/>
      <c r="N54" s="724"/>
      <c r="O54" s="724"/>
      <c r="P54" s="724"/>
      <c r="Q54" s="724"/>
      <c r="R54" s="724"/>
    </row>
    <row r="55" spans="1:18" ht="15" x14ac:dyDescent="0.2">
      <c r="A55" s="640" t="s">
        <v>95</v>
      </c>
      <c r="B55" s="353">
        <v>0</v>
      </c>
      <c r="C55" s="1126">
        <v>2400</v>
      </c>
      <c r="D55" s="1127">
        <v>7600</v>
      </c>
      <c r="E55" s="1121">
        <f t="shared" si="6"/>
        <v>10000</v>
      </c>
      <c r="F55" s="1128">
        <v>0</v>
      </c>
      <c r="G55" s="1129">
        <v>0</v>
      </c>
      <c r="H55" s="1124">
        <f t="shared" si="7"/>
        <v>10000</v>
      </c>
      <c r="I55" s="1130">
        <v>7000</v>
      </c>
      <c r="J55" s="724"/>
      <c r="K55" s="724"/>
      <c r="L55" s="724"/>
      <c r="M55" s="724"/>
      <c r="N55" s="724"/>
      <c r="O55" s="724"/>
      <c r="P55" s="724"/>
      <c r="Q55" s="724"/>
      <c r="R55" s="724"/>
    </row>
    <row r="56" spans="1:18" ht="15" x14ac:dyDescent="0.2">
      <c r="A56" s="640" t="s">
        <v>30</v>
      </c>
      <c r="B56" s="353">
        <v>1000</v>
      </c>
      <c r="C56" s="1126">
        <v>24000</v>
      </c>
      <c r="D56" s="1127">
        <v>3000</v>
      </c>
      <c r="E56" s="1121">
        <f t="shared" si="6"/>
        <v>28000</v>
      </c>
      <c r="F56" s="1128">
        <v>0</v>
      </c>
      <c r="G56" s="1129">
        <v>0</v>
      </c>
      <c r="H56" s="1124">
        <f t="shared" si="7"/>
        <v>28000</v>
      </c>
      <c r="I56" s="1130">
        <v>6700</v>
      </c>
      <c r="J56" s="724"/>
      <c r="K56" s="724"/>
      <c r="L56" s="724"/>
      <c r="M56" s="724"/>
      <c r="N56" s="724"/>
      <c r="O56" s="724"/>
      <c r="P56" s="724"/>
      <c r="Q56" s="724"/>
      <c r="R56" s="724"/>
    </row>
    <row r="57" spans="1:18" ht="15" x14ac:dyDescent="0.2">
      <c r="A57" s="640" t="s">
        <v>31</v>
      </c>
      <c r="B57" s="353">
        <v>0</v>
      </c>
      <c r="C57" s="1126">
        <v>0</v>
      </c>
      <c r="D57" s="1127">
        <v>0</v>
      </c>
      <c r="E57" s="1121">
        <f t="shared" si="6"/>
        <v>0</v>
      </c>
      <c r="F57" s="1128">
        <v>0</v>
      </c>
      <c r="G57" s="1129">
        <v>0</v>
      </c>
      <c r="H57" s="1124">
        <f t="shared" si="7"/>
        <v>0</v>
      </c>
      <c r="I57" s="1130">
        <v>0</v>
      </c>
      <c r="J57" s="724"/>
      <c r="K57" s="724"/>
      <c r="L57" s="724"/>
      <c r="M57" s="724"/>
      <c r="N57" s="724"/>
      <c r="O57" s="724"/>
      <c r="P57" s="724"/>
      <c r="Q57" s="724"/>
      <c r="R57" s="724"/>
    </row>
    <row r="58" spans="1:18" ht="15" x14ac:dyDescent="0.2">
      <c r="A58" s="640" t="s">
        <v>32</v>
      </c>
      <c r="B58" s="353">
        <v>0</v>
      </c>
      <c r="C58" s="1126">
        <v>0</v>
      </c>
      <c r="D58" s="1127">
        <v>0</v>
      </c>
      <c r="E58" s="1121">
        <f t="shared" si="6"/>
        <v>0</v>
      </c>
      <c r="F58" s="1128">
        <v>0</v>
      </c>
      <c r="G58" s="1129">
        <v>0</v>
      </c>
      <c r="H58" s="1124">
        <f t="shared" si="7"/>
        <v>0</v>
      </c>
      <c r="I58" s="1130">
        <v>0</v>
      </c>
      <c r="J58" s="724"/>
      <c r="K58" s="724"/>
      <c r="L58" s="724"/>
      <c r="M58" s="724"/>
      <c r="N58" s="724"/>
      <c r="O58" s="724"/>
      <c r="P58" s="724"/>
      <c r="Q58" s="724"/>
      <c r="R58" s="724"/>
    </row>
    <row r="59" spans="1:18" ht="15" x14ac:dyDescent="0.2">
      <c r="A59" s="640" t="s">
        <v>33</v>
      </c>
      <c r="B59" s="353">
        <v>0</v>
      </c>
      <c r="C59" s="1126">
        <v>0</v>
      </c>
      <c r="D59" s="1127">
        <v>0</v>
      </c>
      <c r="E59" s="1121">
        <f t="shared" si="6"/>
        <v>0</v>
      </c>
      <c r="F59" s="1128">
        <v>0</v>
      </c>
      <c r="G59" s="1129">
        <v>0</v>
      </c>
      <c r="H59" s="1124">
        <f t="shared" si="7"/>
        <v>0</v>
      </c>
      <c r="I59" s="1130">
        <v>0</v>
      </c>
      <c r="J59" s="724"/>
      <c r="K59" s="724"/>
      <c r="L59" s="724"/>
      <c r="M59" s="724"/>
      <c r="N59" s="724"/>
      <c r="O59" s="724"/>
      <c r="P59" s="724"/>
      <c r="Q59" s="724"/>
      <c r="R59" s="724"/>
    </row>
    <row r="60" spans="1:18" ht="15" x14ac:dyDescent="0.2">
      <c r="A60" s="640" t="s">
        <v>34</v>
      </c>
      <c r="B60" s="353">
        <v>0</v>
      </c>
      <c r="C60" s="1126">
        <v>0</v>
      </c>
      <c r="D60" s="1127">
        <v>0</v>
      </c>
      <c r="E60" s="1121">
        <f t="shared" si="6"/>
        <v>0</v>
      </c>
      <c r="F60" s="1128">
        <v>0</v>
      </c>
      <c r="G60" s="1129">
        <v>0</v>
      </c>
      <c r="H60" s="1124">
        <f t="shared" si="7"/>
        <v>0</v>
      </c>
      <c r="I60" s="1130">
        <v>0</v>
      </c>
      <c r="J60" s="724"/>
      <c r="K60" s="724"/>
      <c r="L60" s="724"/>
      <c r="M60" s="724"/>
      <c r="N60" s="724"/>
      <c r="O60" s="724"/>
      <c r="P60" s="724"/>
      <c r="Q60" s="724"/>
      <c r="R60" s="724"/>
    </row>
    <row r="61" spans="1:18" ht="15" x14ac:dyDescent="0.2">
      <c r="A61" s="640" t="s">
        <v>37</v>
      </c>
      <c r="B61" s="353">
        <v>0</v>
      </c>
      <c r="C61" s="1126">
        <v>35000</v>
      </c>
      <c r="D61" s="1127">
        <v>0</v>
      </c>
      <c r="E61" s="1121">
        <f t="shared" si="6"/>
        <v>35000</v>
      </c>
      <c r="F61" s="1128">
        <v>0</v>
      </c>
      <c r="G61" s="1129">
        <v>0</v>
      </c>
      <c r="H61" s="1124">
        <f t="shared" si="7"/>
        <v>35000</v>
      </c>
      <c r="I61" s="1130">
        <v>0</v>
      </c>
      <c r="J61" s="724"/>
      <c r="K61" s="724"/>
      <c r="L61" s="724"/>
      <c r="M61" s="724"/>
      <c r="N61" s="724"/>
      <c r="O61" s="724"/>
      <c r="P61" s="724"/>
      <c r="Q61" s="724"/>
      <c r="R61" s="724"/>
    </row>
    <row r="62" spans="1:18" ht="15" x14ac:dyDescent="0.2">
      <c r="A62" s="640" t="s">
        <v>84</v>
      </c>
      <c r="B62" s="353">
        <v>0</v>
      </c>
      <c r="C62" s="1126">
        <v>300</v>
      </c>
      <c r="D62" s="1127">
        <v>0</v>
      </c>
      <c r="E62" s="1121">
        <f t="shared" si="6"/>
        <v>300</v>
      </c>
      <c r="F62" s="1128">
        <v>0</v>
      </c>
      <c r="G62" s="1129">
        <v>0</v>
      </c>
      <c r="H62" s="1124">
        <f t="shared" si="7"/>
        <v>300</v>
      </c>
      <c r="I62" s="1130">
        <v>0</v>
      </c>
      <c r="J62" s="724"/>
      <c r="K62" s="724"/>
      <c r="L62" s="724"/>
      <c r="M62" s="724"/>
      <c r="N62" s="724"/>
      <c r="O62" s="724"/>
      <c r="P62" s="724"/>
      <c r="Q62" s="724"/>
      <c r="R62" s="724"/>
    </row>
    <row r="63" spans="1:18" ht="15" x14ac:dyDescent="0.2">
      <c r="A63" s="640" t="s">
        <v>276</v>
      </c>
      <c r="B63" s="353">
        <v>52000</v>
      </c>
      <c r="C63" s="1126">
        <v>18000</v>
      </c>
      <c r="D63" s="1127">
        <v>158000</v>
      </c>
      <c r="E63" s="1121">
        <f t="shared" si="6"/>
        <v>228000</v>
      </c>
      <c r="F63" s="1128">
        <v>0</v>
      </c>
      <c r="G63" s="1129">
        <v>50000</v>
      </c>
      <c r="H63" s="1124">
        <f t="shared" si="7"/>
        <v>278000</v>
      </c>
      <c r="I63" s="1130">
        <v>0</v>
      </c>
      <c r="J63" s="724"/>
      <c r="K63" s="724"/>
      <c r="L63" s="724"/>
      <c r="M63" s="724"/>
      <c r="N63" s="724"/>
      <c r="O63" s="724"/>
      <c r="P63" s="724"/>
      <c r="Q63" s="724"/>
      <c r="R63" s="724"/>
    </row>
    <row r="64" spans="1:18" ht="30.75" thickBot="1" x14ac:dyDescent="0.25">
      <c r="A64" s="1143" t="s">
        <v>297</v>
      </c>
      <c r="B64" s="253">
        <v>0</v>
      </c>
      <c r="C64" s="1131">
        <v>0</v>
      </c>
      <c r="D64" s="1132">
        <v>0</v>
      </c>
      <c r="E64" s="1121">
        <f t="shared" si="6"/>
        <v>0</v>
      </c>
      <c r="F64" s="1128">
        <v>0</v>
      </c>
      <c r="G64" s="1129">
        <v>0</v>
      </c>
      <c r="H64" s="1124">
        <f t="shared" si="7"/>
        <v>0</v>
      </c>
      <c r="I64" s="1130">
        <v>0</v>
      </c>
      <c r="J64" s="325"/>
      <c r="K64" s="325"/>
      <c r="L64" s="325"/>
      <c r="M64" s="325"/>
      <c r="O64" s="724"/>
      <c r="P64" s="724"/>
      <c r="Q64" s="724"/>
      <c r="R64" s="724"/>
    </row>
    <row r="65" spans="1:18" ht="15.75" thickBot="1" x14ac:dyDescent="0.25">
      <c r="A65" s="1134" t="s">
        <v>298</v>
      </c>
      <c r="B65" s="1135">
        <f t="shared" ref="B65:G65" si="8">SUM(B51:B64)</f>
        <v>143000</v>
      </c>
      <c r="C65" s="1136">
        <f t="shared" si="8"/>
        <v>109700</v>
      </c>
      <c r="D65" s="1137">
        <f t="shared" si="8"/>
        <v>168600</v>
      </c>
      <c r="E65" s="1138">
        <f t="shared" si="6"/>
        <v>421300</v>
      </c>
      <c r="F65" s="1138">
        <f t="shared" si="8"/>
        <v>0</v>
      </c>
      <c r="G65" s="1139">
        <f t="shared" si="8"/>
        <v>50000</v>
      </c>
      <c r="H65" s="1140">
        <f t="shared" si="7"/>
        <v>471300</v>
      </c>
      <c r="I65" s="1141">
        <f>SUM(I53:I64)</f>
        <v>13700</v>
      </c>
      <c r="J65" s="724"/>
      <c r="K65" s="724"/>
      <c r="L65" s="724"/>
      <c r="M65" s="724"/>
      <c r="N65" s="724"/>
      <c r="O65" s="724"/>
      <c r="P65" s="724"/>
      <c r="Q65" s="724"/>
      <c r="R65" s="724"/>
    </row>
    <row r="66" spans="1:18" ht="15" x14ac:dyDescent="0.2">
      <c r="A66" s="582"/>
      <c r="B66" s="583"/>
      <c r="C66" s="583"/>
      <c r="D66" s="583"/>
      <c r="E66" s="583"/>
      <c r="F66" s="583"/>
      <c r="G66" s="578"/>
      <c r="H66" s="578"/>
      <c r="I66" s="578"/>
      <c r="J66" s="724"/>
      <c r="K66" s="724"/>
      <c r="L66" s="724"/>
      <c r="M66" s="724"/>
      <c r="N66" s="724"/>
      <c r="O66" s="724"/>
      <c r="P66" s="724"/>
      <c r="Q66" s="724"/>
      <c r="R66" s="724"/>
    </row>
    <row r="67" spans="1:18" ht="15" x14ac:dyDescent="0.2">
      <c r="A67" s="582"/>
      <c r="B67" s="583"/>
      <c r="C67" s="583"/>
      <c r="D67" s="583"/>
      <c r="E67" s="583"/>
      <c r="F67" s="583"/>
      <c r="G67" s="578"/>
      <c r="H67" s="215"/>
      <c r="I67" s="578"/>
      <c r="J67" s="724"/>
      <c r="K67" s="724"/>
      <c r="L67" s="724"/>
      <c r="M67" s="724"/>
      <c r="N67" s="724"/>
      <c r="O67" s="724"/>
      <c r="P67" s="724"/>
      <c r="Q67" s="724"/>
      <c r="R67" s="724"/>
    </row>
    <row r="68" spans="1:18" ht="15" x14ac:dyDescent="0.2">
      <c r="A68" s="582"/>
      <c r="B68" s="583"/>
      <c r="C68" s="583"/>
      <c r="D68" s="583"/>
      <c r="E68" s="583"/>
      <c r="F68" s="583"/>
      <c r="G68" s="578"/>
      <c r="H68" s="578"/>
      <c r="I68" s="910"/>
      <c r="J68" s="724"/>
      <c r="K68" s="724"/>
      <c r="L68" s="724"/>
      <c r="M68" s="724"/>
      <c r="N68" s="724"/>
      <c r="O68" s="724"/>
      <c r="P68" s="724"/>
      <c r="Q68" s="724"/>
      <c r="R68" s="724"/>
    </row>
    <row r="69" spans="1:18" ht="15.75" x14ac:dyDescent="0.2">
      <c r="A69" s="101"/>
      <c r="B69" s="584"/>
      <c r="C69" s="584"/>
      <c r="D69" s="584"/>
      <c r="E69" s="584"/>
      <c r="F69" s="584"/>
      <c r="G69" s="578"/>
      <c r="H69" s="578"/>
      <c r="I69" s="578"/>
      <c r="J69" s="724"/>
      <c r="K69" s="724"/>
      <c r="L69" s="724"/>
      <c r="M69" s="724"/>
      <c r="N69" s="724"/>
      <c r="O69" s="724"/>
      <c r="P69" s="724"/>
      <c r="Q69" s="724"/>
      <c r="R69" s="724"/>
    </row>
    <row r="70" spans="1:18" ht="15.75" x14ac:dyDescent="0.2">
      <c r="A70" s="101"/>
      <c r="B70" s="584"/>
      <c r="C70" s="584"/>
      <c r="D70" s="584"/>
      <c r="E70" s="584"/>
      <c r="F70" s="584"/>
      <c r="G70" s="578"/>
      <c r="H70" s="578"/>
      <c r="I70" s="578"/>
      <c r="J70" s="724"/>
      <c r="K70" s="724"/>
      <c r="L70" s="724"/>
      <c r="M70" s="724"/>
      <c r="N70" s="724"/>
      <c r="O70" s="724"/>
      <c r="P70" s="724"/>
      <c r="Q70" s="724"/>
      <c r="R70" s="724"/>
    </row>
    <row r="71" spans="1:18" ht="15.75" x14ac:dyDescent="0.2">
      <c r="B71" s="585"/>
      <c r="C71" s="585"/>
      <c r="D71" s="585"/>
      <c r="E71" s="585"/>
      <c r="F71" s="585"/>
      <c r="G71" s="578"/>
      <c r="H71" s="578"/>
      <c r="I71" s="578"/>
      <c r="J71" s="724"/>
      <c r="K71" s="724"/>
      <c r="L71" s="724"/>
      <c r="M71" s="724"/>
      <c r="N71" s="724"/>
      <c r="O71" s="724"/>
      <c r="P71" s="724"/>
      <c r="Q71" s="724"/>
      <c r="R71" s="724"/>
    </row>
    <row r="72" spans="1:18" ht="15" x14ac:dyDescent="0.2">
      <c r="B72" s="724"/>
      <c r="C72" s="724"/>
      <c r="D72" s="724"/>
      <c r="E72" s="724"/>
      <c r="F72" s="724"/>
      <c r="G72" s="724"/>
      <c r="H72" s="578"/>
      <c r="I72" s="578"/>
      <c r="J72" s="724"/>
      <c r="K72" s="724"/>
      <c r="L72" s="724"/>
      <c r="M72" s="724"/>
      <c r="N72" s="724"/>
      <c r="O72" s="724"/>
      <c r="P72" s="724"/>
      <c r="Q72" s="724"/>
      <c r="R72" s="724"/>
    </row>
    <row r="73" spans="1:18" ht="15.75" x14ac:dyDescent="0.2">
      <c r="B73" s="585"/>
      <c r="C73" s="585"/>
      <c r="D73" s="585"/>
      <c r="E73" s="585"/>
      <c r="F73" s="585"/>
      <c r="G73" s="578"/>
      <c r="H73" s="578"/>
      <c r="I73" s="578"/>
      <c r="J73" s="724"/>
      <c r="K73" s="724"/>
      <c r="L73" s="724"/>
      <c r="M73" s="724"/>
      <c r="N73" s="724"/>
      <c r="O73" s="724"/>
      <c r="P73" s="724"/>
      <c r="Q73" s="724"/>
      <c r="R73" s="724"/>
    </row>
    <row r="74" spans="1:18" ht="15.75" x14ac:dyDescent="0.2">
      <c r="B74" s="585"/>
      <c r="C74" s="585"/>
      <c r="D74" s="585"/>
      <c r="E74" s="585"/>
      <c r="F74" s="585"/>
      <c r="G74" s="578"/>
      <c r="H74" s="578"/>
      <c r="I74" s="578"/>
      <c r="J74" s="724"/>
      <c r="K74" s="724"/>
      <c r="L74" s="724"/>
      <c r="M74" s="724"/>
      <c r="N74" s="724"/>
      <c r="O74" s="724"/>
      <c r="P74" s="724"/>
      <c r="Q74" s="724"/>
      <c r="R74" s="724"/>
    </row>
    <row r="75" spans="1:18" ht="15.75" x14ac:dyDescent="0.2">
      <c r="B75" s="585"/>
      <c r="C75" s="585"/>
      <c r="D75" s="585"/>
      <c r="E75" s="585"/>
      <c r="F75" s="585"/>
      <c r="G75" s="578"/>
      <c r="H75" s="578"/>
      <c r="I75" s="578"/>
      <c r="J75" s="724"/>
      <c r="K75" s="724"/>
      <c r="L75" s="724"/>
      <c r="M75" s="724"/>
      <c r="N75" s="724"/>
      <c r="O75" s="724"/>
      <c r="P75" s="724"/>
      <c r="Q75" s="724"/>
      <c r="R75" s="724"/>
    </row>
    <row r="76" spans="1:18" ht="15.75" x14ac:dyDescent="0.2">
      <c r="B76" s="585"/>
      <c r="C76" s="585"/>
      <c r="D76" s="585"/>
      <c r="E76" s="585"/>
      <c r="F76" s="585"/>
      <c r="G76" s="578"/>
      <c r="H76" s="578"/>
      <c r="I76" s="578"/>
      <c r="J76" s="724"/>
      <c r="K76" s="724"/>
      <c r="L76" s="724"/>
      <c r="M76" s="724"/>
      <c r="N76" s="724"/>
      <c r="O76" s="724"/>
      <c r="P76" s="724"/>
      <c r="Q76" s="724"/>
      <c r="R76" s="724"/>
    </row>
    <row r="77" spans="1:18" ht="15.75" x14ac:dyDescent="0.2">
      <c r="B77" s="585"/>
      <c r="C77" s="585"/>
      <c r="D77" s="585"/>
      <c r="E77" s="585"/>
      <c r="F77" s="585"/>
      <c r="G77" s="578"/>
      <c r="H77" s="578"/>
      <c r="I77" s="578"/>
      <c r="J77" s="724"/>
      <c r="K77" s="724"/>
      <c r="L77" s="724"/>
      <c r="M77" s="724"/>
      <c r="N77" s="724"/>
      <c r="O77" s="724"/>
      <c r="P77" s="724"/>
      <c r="Q77" s="724"/>
      <c r="R77" s="724"/>
    </row>
    <row r="78" spans="1:18" ht="15.75" x14ac:dyDescent="0.2">
      <c r="B78" s="585"/>
      <c r="C78" s="585"/>
      <c r="D78" s="585"/>
      <c r="E78" s="585"/>
      <c r="F78" s="585"/>
      <c r="G78" s="578"/>
      <c r="H78" s="578"/>
      <c r="I78" s="578"/>
      <c r="J78" s="724"/>
      <c r="K78" s="724"/>
      <c r="L78" s="724"/>
      <c r="M78" s="724"/>
      <c r="N78" s="724"/>
      <c r="O78" s="724"/>
      <c r="P78" s="724"/>
      <c r="Q78" s="724"/>
      <c r="R78" s="724"/>
    </row>
    <row r="79" spans="1:18" ht="15.75" x14ac:dyDescent="0.2">
      <c r="B79" s="585"/>
      <c r="C79" s="585"/>
      <c r="D79" s="585"/>
      <c r="E79" s="585"/>
      <c r="F79" s="585"/>
      <c r="G79" s="578"/>
      <c r="H79" s="578"/>
      <c r="I79" s="578"/>
      <c r="J79" s="724"/>
      <c r="K79" s="724"/>
      <c r="L79" s="724"/>
      <c r="M79" s="724"/>
      <c r="N79" s="724"/>
      <c r="O79" s="724"/>
      <c r="P79" s="724"/>
      <c r="Q79" s="724"/>
      <c r="R79" s="724"/>
    </row>
  </sheetData>
  <mergeCells count="34">
    <mergeCell ref="E29:G29"/>
    <mergeCell ref="E50:G50"/>
    <mergeCell ref="A27:I27"/>
    <mergeCell ref="A48:I48"/>
    <mergeCell ref="B29:D29"/>
    <mergeCell ref="B50:D50"/>
    <mergeCell ref="A29:A31"/>
    <mergeCell ref="H29:H31"/>
    <mergeCell ref="I29:I31"/>
    <mergeCell ref="B30:B31"/>
    <mergeCell ref="C30:D30"/>
    <mergeCell ref="E30:E31"/>
    <mergeCell ref="F30:F31"/>
    <mergeCell ref="G30:G31"/>
    <mergeCell ref="A4:I4"/>
    <mergeCell ref="C9:D9"/>
    <mergeCell ref="A8:A10"/>
    <mergeCell ref="B9:B10"/>
    <mergeCell ref="E9:E10"/>
    <mergeCell ref="F9:F10"/>
    <mergeCell ref="G9:G10"/>
    <mergeCell ref="I8:I10"/>
    <mergeCell ref="H8:H10"/>
    <mergeCell ref="A6:I6"/>
    <mergeCell ref="B8:D8"/>
    <mergeCell ref="E8:G8"/>
    <mergeCell ref="B51:B52"/>
    <mergeCell ref="C51:D51"/>
    <mergeCell ref="I50:I52"/>
    <mergeCell ref="A50:A52"/>
    <mergeCell ref="E51:E52"/>
    <mergeCell ref="F51:F52"/>
    <mergeCell ref="G51:G52"/>
    <mergeCell ref="H50:H52"/>
  </mergeCells>
  <printOptions horizontalCentered="1"/>
  <pageMargins left="0.31496062992125984" right="0.31496062992125984" top="0.78740157480314965" bottom="0.78740157480314965" header="0.31496062992125984" footer="0.31496062992125984"/>
  <pageSetup paperSize="9" scale="55" orientation="landscape" r:id="rId1"/>
  <rowBreaks count="1" manualBreakCount="1">
    <brk id="47"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418"/>
  <sheetViews>
    <sheetView workbookViewId="0"/>
  </sheetViews>
  <sheetFormatPr defaultColWidth="9.140625" defaultRowHeight="12.75" x14ac:dyDescent="0.2"/>
  <cols>
    <col min="1" max="1" width="7.7109375" style="71" customWidth="1"/>
    <col min="2" max="2" width="70.7109375" style="71" customWidth="1"/>
    <col min="3" max="3" width="13.7109375" style="324" customWidth="1"/>
    <col min="4" max="4" width="13.7109375" style="387" customWidth="1"/>
    <col min="5" max="5" width="16.7109375" style="324" customWidth="1"/>
    <col min="6" max="6" width="15.5703125" style="325" customWidth="1"/>
    <col min="7" max="7" width="16.7109375" style="324" customWidth="1"/>
    <col min="8" max="9" width="16.7109375" style="325" customWidth="1"/>
    <col min="10" max="10" width="16.7109375" style="324" customWidth="1"/>
    <col min="11" max="11" width="10.7109375" style="698" customWidth="1"/>
    <col min="12" max="16384" width="9.140625" style="71"/>
  </cols>
  <sheetData>
    <row r="1" spans="1:13" s="57" customFormat="1" ht="15" customHeight="1" x14ac:dyDescent="0.2">
      <c r="A1" s="384"/>
      <c r="B1" s="384"/>
      <c r="C1" s="586"/>
      <c r="D1" s="706"/>
      <c r="E1" s="385"/>
      <c r="F1" s="594"/>
      <c r="G1" s="385"/>
      <c r="H1" s="594"/>
      <c r="I1" s="594"/>
      <c r="J1" s="385"/>
      <c r="K1" s="685"/>
    </row>
    <row r="2" spans="1:13" s="57" customFormat="1" ht="24" customHeight="1" x14ac:dyDescent="0.2">
      <c r="A2" s="384" t="s">
        <v>506</v>
      </c>
      <c r="B2" s="384"/>
      <c r="C2" s="586"/>
      <c r="D2" s="706"/>
      <c r="E2" s="385"/>
      <c r="F2" s="594"/>
      <c r="G2" s="385"/>
      <c r="H2" s="594"/>
      <c r="I2" s="594"/>
      <c r="J2" s="385"/>
      <c r="K2" s="685"/>
    </row>
    <row r="3" spans="1:13" ht="15" customHeight="1" x14ac:dyDescent="0.2"/>
    <row r="4" spans="1:13" ht="15" customHeight="1" x14ac:dyDescent="0.2">
      <c r="A4" s="582"/>
      <c r="B4" s="582"/>
      <c r="C4" s="582"/>
      <c r="D4" s="707"/>
      <c r="E4" s="708"/>
      <c r="F4" s="709"/>
      <c r="G4" s="708"/>
      <c r="H4" s="709"/>
      <c r="I4" s="709"/>
      <c r="J4" s="708"/>
    </row>
    <row r="5" spans="1:13" ht="20.100000000000001" customHeight="1" x14ac:dyDescent="0.2">
      <c r="A5" s="579" t="s">
        <v>255</v>
      </c>
      <c r="B5" s="579"/>
      <c r="C5" s="587"/>
      <c r="D5" s="710"/>
      <c r="E5" s="590"/>
      <c r="F5" s="711"/>
      <c r="G5" s="590"/>
      <c r="H5" s="711"/>
      <c r="I5" s="711"/>
      <c r="J5" s="590"/>
    </row>
    <row r="6" spans="1:13" ht="15" customHeight="1" thickBot="1" x14ac:dyDescent="0.25">
      <c r="E6" s="708"/>
      <c r="F6" s="709"/>
      <c r="G6" s="708"/>
      <c r="H6" s="709"/>
      <c r="I6" s="709"/>
      <c r="J6" s="708"/>
      <c r="K6" s="175" t="s">
        <v>0</v>
      </c>
    </row>
    <row r="7" spans="1:13" ht="20.100000000000001" customHeight="1" x14ac:dyDescent="0.2">
      <c r="A7" s="1200" t="s">
        <v>1</v>
      </c>
      <c r="B7" s="1266"/>
      <c r="C7" s="1234" t="s">
        <v>267</v>
      </c>
      <c r="D7" s="1263" t="s">
        <v>266</v>
      </c>
      <c r="E7" s="1198" t="s">
        <v>365</v>
      </c>
      <c r="F7" s="1199"/>
      <c r="G7" s="1198" t="s">
        <v>440</v>
      </c>
      <c r="H7" s="1202"/>
      <c r="I7" s="1199"/>
      <c r="J7" s="1203" t="s">
        <v>507</v>
      </c>
      <c r="K7" s="1205" t="s">
        <v>509</v>
      </c>
    </row>
    <row r="8" spans="1:13" ht="35.1" customHeight="1" thickBot="1" x14ac:dyDescent="0.25">
      <c r="A8" s="1201"/>
      <c r="B8" s="1267"/>
      <c r="C8" s="1235"/>
      <c r="D8" s="1264"/>
      <c r="E8" s="264" t="s">
        <v>109</v>
      </c>
      <c r="F8" s="942" t="s">
        <v>126</v>
      </c>
      <c r="G8" s="264" t="s">
        <v>109</v>
      </c>
      <c r="H8" s="265" t="s">
        <v>589</v>
      </c>
      <c r="I8" s="266" t="s">
        <v>595</v>
      </c>
      <c r="J8" s="1204"/>
      <c r="K8" s="1206"/>
    </row>
    <row r="9" spans="1:13" ht="47.25" customHeight="1" x14ac:dyDescent="0.2">
      <c r="A9" s="1268" t="s">
        <v>353</v>
      </c>
      <c r="B9" s="1269"/>
      <c r="C9" s="1285">
        <v>4000000</v>
      </c>
      <c r="D9" s="1282">
        <v>46642</v>
      </c>
      <c r="E9" s="370">
        <f>SUM(E10:E11)</f>
        <v>319142</v>
      </c>
      <c r="F9" s="371">
        <f t="shared" ref="F9:J9" si="0">SUM(F10:F11)</f>
        <v>315704.96000000002</v>
      </c>
      <c r="G9" s="370">
        <f t="shared" ref="G9" si="1">SUM(G10:G11)</f>
        <v>292901</v>
      </c>
      <c r="H9" s="372">
        <f t="shared" si="0"/>
        <v>296337.86</v>
      </c>
      <c r="I9" s="373">
        <f t="shared" si="0"/>
        <v>218228.9</v>
      </c>
      <c r="J9" s="1105">
        <f t="shared" si="0"/>
        <v>262545</v>
      </c>
      <c r="K9" s="334">
        <f t="shared" ref="K9:K23" si="2">J9/G9*100</f>
        <v>89.636088644285948</v>
      </c>
      <c r="L9" s="144"/>
      <c r="M9" s="324"/>
    </row>
    <row r="10" spans="1:13" ht="15" customHeight="1" x14ac:dyDescent="0.2">
      <c r="A10" s="1276" t="s">
        <v>96</v>
      </c>
      <c r="B10" s="333" t="s">
        <v>16</v>
      </c>
      <c r="C10" s="1286"/>
      <c r="D10" s="1283"/>
      <c r="E10" s="329">
        <v>239487</v>
      </c>
      <c r="F10" s="330">
        <v>239486.82</v>
      </c>
      <c r="G10" s="329">
        <v>239487</v>
      </c>
      <c r="H10" s="331">
        <v>239487</v>
      </c>
      <c r="I10" s="330">
        <v>179615.11</v>
      </c>
      <c r="J10" s="1106">
        <v>239487</v>
      </c>
      <c r="K10" s="332">
        <f t="shared" si="2"/>
        <v>100</v>
      </c>
      <c r="L10" s="144"/>
      <c r="M10" s="144"/>
    </row>
    <row r="11" spans="1:13" ht="15" customHeight="1" thickBot="1" x14ac:dyDescent="0.25">
      <c r="A11" s="1277"/>
      <c r="B11" s="374" t="s">
        <v>48</v>
      </c>
      <c r="C11" s="1287"/>
      <c r="D11" s="1284"/>
      <c r="E11" s="376">
        <v>79655</v>
      </c>
      <c r="F11" s="375">
        <v>76218.14</v>
      </c>
      <c r="G11" s="376">
        <v>53414</v>
      </c>
      <c r="H11" s="377">
        <v>56850.86</v>
      </c>
      <c r="I11" s="378">
        <v>38613.79</v>
      </c>
      <c r="J11" s="1107">
        <v>23058</v>
      </c>
      <c r="K11" s="379">
        <f t="shared" si="2"/>
        <v>43.168457707717081</v>
      </c>
      <c r="L11" s="144"/>
      <c r="M11" s="324"/>
    </row>
    <row r="12" spans="1:13" ht="47.25" customHeight="1" x14ac:dyDescent="0.2">
      <c r="A12" s="1268" t="s">
        <v>439</v>
      </c>
      <c r="B12" s="1269"/>
      <c r="C12" s="1285">
        <v>2750000</v>
      </c>
      <c r="D12" s="1282">
        <v>45473</v>
      </c>
      <c r="E12" s="370">
        <f>SUM(E13:E14)</f>
        <v>84878</v>
      </c>
      <c r="F12" s="371">
        <f t="shared" ref="F12:J12" si="3">SUM(F13:F14)</f>
        <v>84589.54</v>
      </c>
      <c r="G12" s="370">
        <f t="shared" ref="G12" si="4">SUM(G13:G14)</f>
        <v>40045</v>
      </c>
      <c r="H12" s="372">
        <f t="shared" si="3"/>
        <v>40333.46</v>
      </c>
      <c r="I12" s="373">
        <f t="shared" si="3"/>
        <v>40026.74</v>
      </c>
      <c r="J12" s="1105">
        <f t="shared" si="3"/>
        <v>0</v>
      </c>
      <c r="K12" s="334">
        <f t="shared" si="2"/>
        <v>0</v>
      </c>
      <c r="L12" s="144"/>
    </row>
    <row r="13" spans="1:13" ht="15" customHeight="1" x14ac:dyDescent="0.2">
      <c r="A13" s="1276" t="s">
        <v>96</v>
      </c>
      <c r="B13" s="333" t="s">
        <v>16</v>
      </c>
      <c r="C13" s="1286"/>
      <c r="D13" s="1283"/>
      <c r="E13" s="329">
        <v>78140</v>
      </c>
      <c r="F13" s="330">
        <v>78140</v>
      </c>
      <c r="G13" s="329">
        <v>39070</v>
      </c>
      <c r="H13" s="331">
        <v>39070</v>
      </c>
      <c r="I13" s="330">
        <v>39070</v>
      </c>
      <c r="J13" s="1106">
        <v>0</v>
      </c>
      <c r="K13" s="332">
        <f t="shared" si="2"/>
        <v>0</v>
      </c>
      <c r="L13" s="144"/>
    </row>
    <row r="14" spans="1:13" ht="15" customHeight="1" thickBot="1" x14ac:dyDescent="0.25">
      <c r="A14" s="1277"/>
      <c r="B14" s="374" t="s">
        <v>48</v>
      </c>
      <c r="C14" s="1287"/>
      <c r="D14" s="1284"/>
      <c r="E14" s="376">
        <v>6738</v>
      </c>
      <c r="F14" s="375">
        <v>6449.54</v>
      </c>
      <c r="G14" s="376">
        <v>975</v>
      </c>
      <c r="H14" s="377">
        <v>1263.46</v>
      </c>
      <c r="I14" s="375">
        <v>956.74</v>
      </c>
      <c r="J14" s="1107">
        <v>0</v>
      </c>
      <c r="K14" s="379">
        <f t="shared" si="2"/>
        <v>0</v>
      </c>
      <c r="L14" s="144"/>
    </row>
    <row r="15" spans="1:13" ht="44.25" customHeight="1" x14ac:dyDescent="0.2">
      <c r="A15" s="1268" t="s">
        <v>364</v>
      </c>
      <c r="B15" s="1269"/>
      <c r="C15" s="1285">
        <v>3050000</v>
      </c>
      <c r="D15" s="1282">
        <v>53973</v>
      </c>
      <c r="E15" s="370">
        <f>SUM(E16:E17)</f>
        <v>122517</v>
      </c>
      <c r="F15" s="371">
        <f t="shared" ref="F15:J15" si="5">SUM(F16:F17)</f>
        <v>87910.5</v>
      </c>
      <c r="G15" s="370">
        <f t="shared" ref="G15" si="6">SUM(G16:G17)</f>
        <v>169204</v>
      </c>
      <c r="H15" s="372">
        <f t="shared" si="5"/>
        <v>203810.5</v>
      </c>
      <c r="I15" s="373">
        <f t="shared" si="5"/>
        <v>62365.45</v>
      </c>
      <c r="J15" s="1105">
        <f t="shared" si="5"/>
        <v>150803</v>
      </c>
      <c r="K15" s="334">
        <f t="shared" si="2"/>
        <v>89.124961584832505</v>
      </c>
      <c r="L15" s="144"/>
    </row>
    <row r="16" spans="1:13" ht="15" customHeight="1" x14ac:dyDescent="0.2">
      <c r="A16" s="1276" t="s">
        <v>96</v>
      </c>
      <c r="B16" s="333" t="s">
        <v>16</v>
      </c>
      <c r="C16" s="1286"/>
      <c r="D16" s="1283"/>
      <c r="E16" s="329">
        <v>0</v>
      </c>
      <c r="F16" s="330">
        <v>0</v>
      </c>
      <c r="G16" s="329">
        <v>8031</v>
      </c>
      <c r="H16" s="331">
        <v>8031</v>
      </c>
      <c r="I16" s="330">
        <v>0</v>
      </c>
      <c r="J16" s="1106">
        <v>35292</v>
      </c>
      <c r="K16" s="332">
        <f t="shared" si="2"/>
        <v>439.44714232349645</v>
      </c>
      <c r="L16" s="144"/>
    </row>
    <row r="17" spans="1:12" ht="15" customHeight="1" thickBot="1" x14ac:dyDescent="0.25">
      <c r="A17" s="1277"/>
      <c r="B17" s="374" t="s">
        <v>48</v>
      </c>
      <c r="C17" s="1287"/>
      <c r="D17" s="1284"/>
      <c r="E17" s="376">
        <v>122517</v>
      </c>
      <c r="F17" s="375">
        <v>87910.5</v>
      </c>
      <c r="G17" s="376">
        <v>161173</v>
      </c>
      <c r="H17" s="377">
        <v>195779.5</v>
      </c>
      <c r="I17" s="375">
        <v>62365.45</v>
      </c>
      <c r="J17" s="1107">
        <v>115511</v>
      </c>
      <c r="K17" s="379">
        <f t="shared" si="2"/>
        <v>71.668951995681667</v>
      </c>
      <c r="L17" s="144"/>
    </row>
    <row r="18" spans="1:12" ht="30" customHeight="1" x14ac:dyDescent="0.2">
      <c r="A18" s="1268" t="s">
        <v>363</v>
      </c>
      <c r="B18" s="1269"/>
      <c r="C18" s="1285">
        <v>2500000</v>
      </c>
      <c r="D18" s="1282">
        <v>48213</v>
      </c>
      <c r="E18" s="370">
        <f>SUM(E19:E20)</f>
        <v>14340</v>
      </c>
      <c r="F18" s="371">
        <f t="shared" ref="F18:J18" si="7">SUM(F19:F20)</f>
        <v>0</v>
      </c>
      <c r="G18" s="370">
        <f t="shared" ref="G18" si="8">SUM(G19:G20)</f>
        <v>9017</v>
      </c>
      <c r="H18" s="372">
        <f t="shared" si="7"/>
        <v>23357</v>
      </c>
      <c r="I18" s="373">
        <f t="shared" si="7"/>
        <v>0</v>
      </c>
      <c r="J18" s="1105">
        <f t="shared" si="7"/>
        <v>6359</v>
      </c>
      <c r="K18" s="334">
        <f t="shared" si="2"/>
        <v>70.522346678496177</v>
      </c>
      <c r="L18" s="144"/>
    </row>
    <row r="19" spans="1:12" ht="15" customHeight="1" x14ac:dyDescent="0.2">
      <c r="A19" s="1276" t="s">
        <v>96</v>
      </c>
      <c r="B19" s="333" t="s">
        <v>16</v>
      </c>
      <c r="C19" s="1286"/>
      <c r="D19" s="1283"/>
      <c r="E19" s="329">
        <v>0</v>
      </c>
      <c r="F19" s="330">
        <v>0</v>
      </c>
      <c r="G19" s="329">
        <v>0</v>
      </c>
      <c r="H19" s="331">
        <v>0</v>
      </c>
      <c r="I19" s="330">
        <v>0</v>
      </c>
      <c r="J19" s="1106">
        <v>0</v>
      </c>
      <c r="K19" s="1001" t="s">
        <v>60</v>
      </c>
      <c r="L19" s="144"/>
    </row>
    <row r="20" spans="1:12" ht="15" customHeight="1" thickBot="1" x14ac:dyDescent="0.25">
      <c r="A20" s="1277"/>
      <c r="B20" s="374" t="s">
        <v>48</v>
      </c>
      <c r="C20" s="1287"/>
      <c r="D20" s="1284"/>
      <c r="E20" s="376">
        <v>14340</v>
      </c>
      <c r="F20" s="375">
        <v>0</v>
      </c>
      <c r="G20" s="376">
        <v>9017</v>
      </c>
      <c r="H20" s="377">
        <v>23357</v>
      </c>
      <c r="I20" s="375">
        <v>0</v>
      </c>
      <c r="J20" s="1107">
        <v>6359</v>
      </c>
      <c r="K20" s="379">
        <f t="shared" si="2"/>
        <v>70.522346678496177</v>
      </c>
      <c r="L20" s="144"/>
    </row>
    <row r="21" spans="1:12" ht="30" customHeight="1" x14ac:dyDescent="0.2">
      <c r="A21" s="1268" t="s">
        <v>362</v>
      </c>
      <c r="B21" s="1269"/>
      <c r="C21" s="1285">
        <v>4000000</v>
      </c>
      <c r="D21" s="1282">
        <v>53692</v>
      </c>
      <c r="E21" s="370">
        <f>SUM(E22:E23)</f>
        <v>39780</v>
      </c>
      <c r="F21" s="371">
        <f t="shared" ref="F21:J21" si="9">SUM(F22:F23)</f>
        <v>0</v>
      </c>
      <c r="G21" s="370">
        <f t="shared" ref="G21" si="10">SUM(G22:G23)</f>
        <v>14295</v>
      </c>
      <c r="H21" s="372">
        <f t="shared" si="9"/>
        <v>54075</v>
      </c>
      <c r="I21" s="373">
        <f t="shared" si="9"/>
        <v>0</v>
      </c>
      <c r="J21" s="1105">
        <f t="shared" si="9"/>
        <v>14395</v>
      </c>
      <c r="K21" s="334">
        <f t="shared" si="2"/>
        <v>100.6995452955579</v>
      </c>
      <c r="L21" s="144"/>
    </row>
    <row r="22" spans="1:12" ht="15" customHeight="1" x14ac:dyDescent="0.2">
      <c r="A22" s="1276" t="s">
        <v>96</v>
      </c>
      <c r="B22" s="333" t="s">
        <v>16</v>
      </c>
      <c r="C22" s="1286"/>
      <c r="D22" s="1283"/>
      <c r="E22" s="329">
        <v>0</v>
      </c>
      <c r="F22" s="330">
        <v>0</v>
      </c>
      <c r="G22" s="329">
        <v>0</v>
      </c>
      <c r="H22" s="331">
        <v>0</v>
      </c>
      <c r="I22" s="330">
        <v>0</v>
      </c>
      <c r="J22" s="1106">
        <v>0</v>
      </c>
      <c r="K22" s="1001" t="s">
        <v>60</v>
      </c>
      <c r="L22" s="144"/>
    </row>
    <row r="23" spans="1:12" ht="15" customHeight="1" thickBot="1" x14ac:dyDescent="0.25">
      <c r="A23" s="1277"/>
      <c r="B23" s="374" t="s">
        <v>48</v>
      </c>
      <c r="C23" s="1287"/>
      <c r="D23" s="1284"/>
      <c r="E23" s="376">
        <v>39780</v>
      </c>
      <c r="F23" s="375">
        <v>0</v>
      </c>
      <c r="G23" s="376">
        <v>14295</v>
      </c>
      <c r="H23" s="377">
        <v>54075</v>
      </c>
      <c r="I23" s="375">
        <v>0</v>
      </c>
      <c r="J23" s="1107">
        <v>14395</v>
      </c>
      <c r="K23" s="379">
        <f t="shared" si="2"/>
        <v>100.6995452955579</v>
      </c>
      <c r="L23" s="144"/>
    </row>
    <row r="24" spans="1:12" s="101" customFormat="1" ht="30" customHeight="1" x14ac:dyDescent="0.2">
      <c r="A24" s="396" t="s">
        <v>57</v>
      </c>
      <c r="B24" s="396"/>
      <c r="C24" s="1279" t="s">
        <v>349</v>
      </c>
      <c r="D24" s="1282" t="s">
        <v>349</v>
      </c>
      <c r="E24" s="896">
        <f t="shared" ref="E24" si="11">SUM(E25:E26)</f>
        <v>580657</v>
      </c>
      <c r="F24" s="371">
        <f t="shared" ref="F24:J24" si="12">SUM(F25:F26)</f>
        <v>488205</v>
      </c>
      <c r="G24" s="370">
        <f t="shared" ref="G24" si="13">SUM(G25:G26)</f>
        <v>525462</v>
      </c>
      <c r="H24" s="372">
        <f t="shared" si="12"/>
        <v>617913.82000000007</v>
      </c>
      <c r="I24" s="895">
        <f t="shared" si="12"/>
        <v>320621.08999999997</v>
      </c>
      <c r="J24" s="1105">
        <f t="shared" si="12"/>
        <v>434102</v>
      </c>
      <c r="K24" s="934">
        <f>J24/G24*100</f>
        <v>82.613395450099148</v>
      </c>
    </row>
    <row r="25" spans="1:12" s="101" customFormat="1" ht="15" customHeight="1" x14ac:dyDescent="0.2">
      <c r="A25" s="1278" t="s">
        <v>96</v>
      </c>
      <c r="B25" s="386" t="s">
        <v>16</v>
      </c>
      <c r="C25" s="1280"/>
      <c r="D25" s="1283"/>
      <c r="E25" s="329">
        <f>+E10+E13+E16+E19+E22</f>
        <v>317627</v>
      </c>
      <c r="F25" s="750">
        <f t="shared" ref="F25:J25" si="14">+F10+F13+F16+F19+F22</f>
        <v>317626.82</v>
      </c>
      <c r="G25" s="329">
        <f t="shared" si="14"/>
        <v>286588</v>
      </c>
      <c r="H25" s="331">
        <f t="shared" si="14"/>
        <v>286588</v>
      </c>
      <c r="I25" s="750">
        <f t="shared" si="14"/>
        <v>218685.11</v>
      </c>
      <c r="J25" s="1108">
        <f t="shared" si="14"/>
        <v>274779</v>
      </c>
      <c r="K25" s="395">
        <f>J25/G25*100</f>
        <v>95.879450639943059</v>
      </c>
    </row>
    <row r="26" spans="1:12" s="101" customFormat="1" ht="15" customHeight="1" thickBot="1" x14ac:dyDescent="0.25">
      <c r="A26" s="1277"/>
      <c r="B26" s="374" t="s">
        <v>48</v>
      </c>
      <c r="C26" s="1281"/>
      <c r="D26" s="1284"/>
      <c r="E26" s="376">
        <f>+E11+E14+E17+E20+E23</f>
        <v>263030</v>
      </c>
      <c r="F26" s="751">
        <f t="shared" ref="F26:J26" si="15">+F11+F14+F17+F20+F23</f>
        <v>170578.18</v>
      </c>
      <c r="G26" s="376">
        <f t="shared" si="15"/>
        <v>238874</v>
      </c>
      <c r="H26" s="377">
        <f t="shared" si="15"/>
        <v>331325.82</v>
      </c>
      <c r="I26" s="751">
        <f t="shared" si="15"/>
        <v>101935.98</v>
      </c>
      <c r="J26" s="1109">
        <f t="shared" si="15"/>
        <v>159323</v>
      </c>
      <c r="K26" s="380">
        <f>J26/G26*100</f>
        <v>66.697505798035778</v>
      </c>
    </row>
    <row r="27" spans="1:12" s="101" customFormat="1" ht="20.25" customHeight="1" x14ac:dyDescent="0.2">
      <c r="C27" s="584"/>
      <c r="D27" s="394"/>
      <c r="E27" s="325"/>
      <c r="F27" s="325"/>
      <c r="G27" s="325"/>
      <c r="H27" s="325"/>
      <c r="I27" s="325"/>
      <c r="J27" s="325"/>
      <c r="K27" s="712"/>
    </row>
    <row r="28" spans="1:12" ht="15" customHeight="1" x14ac:dyDescent="0.2">
      <c r="E28" s="325"/>
      <c r="G28" s="325"/>
      <c r="J28" s="325"/>
    </row>
    <row r="29" spans="1:12" ht="15" customHeight="1" x14ac:dyDescent="0.2">
      <c r="E29" s="583"/>
      <c r="F29" s="713"/>
      <c r="G29" s="583"/>
      <c r="H29" s="713"/>
      <c r="I29" s="713"/>
      <c r="J29" s="583"/>
    </row>
    <row r="30" spans="1:12" ht="20.100000000000001" customHeight="1" x14ac:dyDescent="0.2">
      <c r="A30" s="579" t="s">
        <v>50</v>
      </c>
      <c r="B30" s="579"/>
      <c r="C30" s="587"/>
      <c r="D30" s="710"/>
    </row>
    <row r="31" spans="1:12" ht="15" customHeight="1" thickBot="1" x14ac:dyDescent="0.25">
      <c r="E31" s="583"/>
      <c r="F31" s="713"/>
      <c r="G31" s="583"/>
      <c r="H31" s="713"/>
      <c r="I31" s="713"/>
      <c r="J31" s="583"/>
      <c r="K31" s="175" t="s">
        <v>0</v>
      </c>
    </row>
    <row r="32" spans="1:12" s="34" customFormat="1" ht="15.95" customHeight="1" x14ac:dyDescent="0.2">
      <c r="A32" s="1200" t="s">
        <v>1</v>
      </c>
      <c r="B32" s="1266"/>
      <c r="C32" s="1234" t="s">
        <v>267</v>
      </c>
      <c r="D32" s="1263" t="s">
        <v>266</v>
      </c>
      <c r="E32" s="1198" t="s">
        <v>365</v>
      </c>
      <c r="F32" s="1199"/>
      <c r="G32" s="1198" t="s">
        <v>440</v>
      </c>
      <c r="H32" s="1202"/>
      <c r="I32" s="1199"/>
      <c r="J32" s="1203" t="s">
        <v>507</v>
      </c>
      <c r="K32" s="1205" t="s">
        <v>509</v>
      </c>
    </row>
    <row r="33" spans="1:11" s="34" customFormat="1" ht="27" customHeight="1" thickBot="1" x14ac:dyDescent="0.25">
      <c r="A33" s="1201"/>
      <c r="B33" s="1267"/>
      <c r="C33" s="1236"/>
      <c r="D33" s="1265"/>
      <c r="E33" s="264" t="s">
        <v>109</v>
      </c>
      <c r="F33" s="942" t="s">
        <v>126</v>
      </c>
      <c r="G33" s="264" t="s">
        <v>109</v>
      </c>
      <c r="H33" s="265" t="s">
        <v>589</v>
      </c>
      <c r="I33" s="266" t="s">
        <v>595</v>
      </c>
      <c r="J33" s="1204"/>
      <c r="K33" s="1206"/>
    </row>
    <row r="34" spans="1:11" ht="60.75" customHeight="1" x14ac:dyDescent="0.2">
      <c r="A34" s="1270" t="s">
        <v>313</v>
      </c>
      <c r="B34" s="1271"/>
      <c r="C34" s="639">
        <v>685000</v>
      </c>
      <c r="D34" s="381">
        <v>45823</v>
      </c>
      <c r="E34" s="348">
        <v>72348</v>
      </c>
      <c r="F34" s="349">
        <v>71289.78</v>
      </c>
      <c r="G34" s="348">
        <v>72322</v>
      </c>
      <c r="H34" s="350">
        <v>72322</v>
      </c>
      <c r="I34" s="349">
        <v>53343.91</v>
      </c>
      <c r="J34" s="351">
        <v>36120</v>
      </c>
      <c r="K34" s="352">
        <f>J34/G34*100</f>
        <v>49.943309089903487</v>
      </c>
    </row>
    <row r="35" spans="1:11" ht="46.5" customHeight="1" x14ac:dyDescent="0.2">
      <c r="A35" s="1272" t="s">
        <v>260</v>
      </c>
      <c r="B35" s="1273"/>
      <c r="C35" s="640">
        <v>173000</v>
      </c>
      <c r="D35" s="382">
        <v>45823</v>
      </c>
      <c r="E35" s="353">
        <v>17315</v>
      </c>
      <c r="F35" s="354">
        <v>17413.14</v>
      </c>
      <c r="G35" s="353">
        <v>17310</v>
      </c>
      <c r="H35" s="355">
        <v>17310</v>
      </c>
      <c r="I35" s="354">
        <v>13018.57</v>
      </c>
      <c r="J35" s="328">
        <v>8644</v>
      </c>
      <c r="K35" s="356">
        <f>J35/G35*100</f>
        <v>49.936452917388792</v>
      </c>
    </row>
    <row r="36" spans="1:11" ht="43.5" customHeight="1" thickBot="1" x14ac:dyDescent="0.25">
      <c r="A36" s="1274" t="s">
        <v>261</v>
      </c>
      <c r="B36" s="1275"/>
      <c r="C36" s="641">
        <v>985000</v>
      </c>
      <c r="D36" s="383">
        <v>45915</v>
      </c>
      <c r="E36" s="256">
        <v>101545</v>
      </c>
      <c r="F36" s="257">
        <v>103335.84</v>
      </c>
      <c r="G36" s="256">
        <v>101473</v>
      </c>
      <c r="H36" s="357">
        <v>101473</v>
      </c>
      <c r="I36" s="257">
        <v>76719.77</v>
      </c>
      <c r="J36" s="213">
        <v>75782</v>
      </c>
      <c r="K36" s="358">
        <f>J36/G36*100</f>
        <v>74.681935096035403</v>
      </c>
    </row>
    <row r="37" spans="1:11" s="101" customFormat="1" ht="30" customHeight="1" thickBot="1" x14ac:dyDescent="0.25">
      <c r="A37" s="1261" t="s">
        <v>49</v>
      </c>
      <c r="B37" s="1262"/>
      <c r="C37" s="909" t="s">
        <v>349</v>
      </c>
      <c r="D37" s="908" t="s">
        <v>349</v>
      </c>
      <c r="E37" s="272">
        <f t="shared" ref="E37:J37" si="16">SUM(E34:E36)</f>
        <v>191208</v>
      </c>
      <c r="F37" s="273">
        <f t="shared" si="16"/>
        <v>192038.76</v>
      </c>
      <c r="G37" s="272">
        <f t="shared" si="16"/>
        <v>191105</v>
      </c>
      <c r="H37" s="275">
        <f t="shared" si="16"/>
        <v>191105</v>
      </c>
      <c r="I37" s="273">
        <f t="shared" si="16"/>
        <v>143082.25</v>
      </c>
      <c r="J37" s="214">
        <f t="shared" si="16"/>
        <v>120546</v>
      </c>
      <c r="K37" s="397">
        <f>J37/G37*100</f>
        <v>63.078412391093899</v>
      </c>
    </row>
    <row r="39" spans="1:11" x14ac:dyDescent="0.2">
      <c r="G39" s="325"/>
    </row>
    <row r="40" spans="1:11" x14ac:dyDescent="0.2">
      <c r="E40" s="325"/>
    </row>
    <row r="45" spans="1:11" ht="15" x14ac:dyDescent="0.2">
      <c r="A45" s="34"/>
      <c r="B45" s="34"/>
      <c r="C45" s="592"/>
      <c r="D45" s="714"/>
      <c r="E45" s="592"/>
      <c r="F45" s="33"/>
      <c r="G45" s="592"/>
      <c r="H45" s="33"/>
      <c r="I45" s="33"/>
      <c r="J45" s="592"/>
    </row>
    <row r="50" spans="1:10" ht="15.75" x14ac:dyDescent="0.2">
      <c r="A50" s="101"/>
      <c r="B50" s="101"/>
      <c r="C50" s="585"/>
      <c r="D50" s="715"/>
      <c r="E50" s="585"/>
      <c r="F50" s="591"/>
      <c r="G50" s="585"/>
      <c r="H50" s="591"/>
      <c r="I50" s="591"/>
      <c r="J50" s="585"/>
    </row>
    <row r="51" spans="1:10" ht="15.75" x14ac:dyDescent="0.2">
      <c r="A51" s="101"/>
      <c r="B51" s="101"/>
      <c r="C51" s="585"/>
      <c r="D51" s="715"/>
      <c r="E51" s="585"/>
      <c r="F51" s="591"/>
      <c r="G51" s="585"/>
      <c r="H51" s="591"/>
      <c r="I51" s="591"/>
      <c r="J51" s="585"/>
    </row>
    <row r="52" spans="1:10" ht="15.75" x14ac:dyDescent="0.2">
      <c r="A52" s="101"/>
      <c r="B52" s="101"/>
      <c r="C52" s="585"/>
      <c r="D52" s="715"/>
      <c r="E52" s="585"/>
      <c r="F52" s="591"/>
      <c r="G52" s="585"/>
      <c r="H52" s="591"/>
      <c r="I52" s="591"/>
      <c r="J52" s="585"/>
    </row>
    <row r="54" spans="1:10" x14ac:dyDescent="0.2">
      <c r="E54" s="593"/>
      <c r="F54" s="589"/>
      <c r="G54" s="593"/>
      <c r="H54" s="589"/>
      <c r="I54" s="589"/>
      <c r="J54" s="593"/>
    </row>
    <row r="56" spans="1:10" ht="15.75" x14ac:dyDescent="0.2">
      <c r="A56" s="101"/>
      <c r="B56" s="101"/>
      <c r="C56" s="585"/>
      <c r="D56" s="715"/>
      <c r="E56" s="585"/>
      <c r="F56" s="591"/>
      <c r="G56" s="585"/>
      <c r="H56" s="591"/>
      <c r="I56" s="591"/>
      <c r="J56" s="585"/>
    </row>
    <row r="57" spans="1:10" x14ac:dyDescent="0.2">
      <c r="A57" s="588"/>
      <c r="B57" s="588"/>
      <c r="C57" s="593"/>
      <c r="D57" s="716"/>
    </row>
    <row r="58" spans="1:10" ht="15.75" x14ac:dyDescent="0.2">
      <c r="A58" s="101"/>
      <c r="B58" s="101"/>
      <c r="C58" s="585"/>
      <c r="D58" s="715"/>
      <c r="E58" s="585"/>
      <c r="F58" s="591"/>
      <c r="G58" s="585"/>
      <c r="H58" s="591"/>
      <c r="I58" s="591"/>
      <c r="J58" s="585"/>
    </row>
    <row r="59" spans="1:10" ht="15.75" x14ac:dyDescent="0.2">
      <c r="A59" s="101"/>
      <c r="B59" s="101"/>
      <c r="C59" s="585"/>
      <c r="D59" s="715"/>
      <c r="E59" s="585"/>
      <c r="F59" s="591"/>
      <c r="G59" s="585"/>
      <c r="H59" s="591"/>
      <c r="I59" s="591"/>
      <c r="J59" s="585"/>
    </row>
    <row r="60" spans="1:10" ht="15.75" x14ac:dyDescent="0.2">
      <c r="A60" s="101"/>
      <c r="B60" s="101"/>
      <c r="C60" s="585"/>
      <c r="D60" s="715"/>
      <c r="E60" s="585"/>
      <c r="F60" s="591"/>
      <c r="G60" s="585"/>
      <c r="H60" s="591"/>
      <c r="I60" s="591"/>
      <c r="J60" s="585"/>
    </row>
    <row r="61" spans="1:10" ht="15.75" x14ac:dyDescent="0.2">
      <c r="A61" s="101"/>
      <c r="B61" s="101"/>
      <c r="C61" s="585"/>
      <c r="D61" s="715"/>
      <c r="E61" s="585"/>
      <c r="F61" s="591"/>
      <c r="G61" s="585"/>
      <c r="H61" s="591"/>
      <c r="I61" s="591"/>
      <c r="J61" s="585"/>
    </row>
    <row r="418" spans="1:12" x14ac:dyDescent="0.2">
      <c r="A418" s="387"/>
      <c r="B418" s="387"/>
      <c r="L418" s="387"/>
    </row>
  </sheetData>
  <mergeCells count="41">
    <mergeCell ref="J32:J33"/>
    <mergeCell ref="K32:K33"/>
    <mergeCell ref="J7:J8"/>
    <mergeCell ref="E7:F7"/>
    <mergeCell ref="G7:I7"/>
    <mergeCell ref="K7:K8"/>
    <mergeCell ref="E32:F32"/>
    <mergeCell ref="G32:I32"/>
    <mergeCell ref="C9:C11"/>
    <mergeCell ref="D9:D11"/>
    <mergeCell ref="C12:C14"/>
    <mergeCell ref="D12:D14"/>
    <mergeCell ref="C15:C17"/>
    <mergeCell ref="D15:D17"/>
    <mergeCell ref="A25:A26"/>
    <mergeCell ref="C24:C26"/>
    <mergeCell ref="D24:D26"/>
    <mergeCell ref="A18:B18"/>
    <mergeCell ref="C18:C20"/>
    <mergeCell ref="D18:D20"/>
    <mergeCell ref="A19:A20"/>
    <mergeCell ref="A21:B21"/>
    <mergeCell ref="C21:C23"/>
    <mergeCell ref="D21:D23"/>
    <mergeCell ref="A22:A23"/>
    <mergeCell ref="A37:B37"/>
    <mergeCell ref="C7:C8"/>
    <mergeCell ref="D7:D8"/>
    <mergeCell ref="C32:C33"/>
    <mergeCell ref="D32:D33"/>
    <mergeCell ref="A32:B33"/>
    <mergeCell ref="A7:B8"/>
    <mergeCell ref="A15:B15"/>
    <mergeCell ref="A12:B12"/>
    <mergeCell ref="A9:B9"/>
    <mergeCell ref="A34:B34"/>
    <mergeCell ref="A35:B35"/>
    <mergeCell ref="A36:B36"/>
    <mergeCell ref="A10:A11"/>
    <mergeCell ref="A13:A14"/>
    <mergeCell ref="A16:A17"/>
  </mergeCells>
  <phoneticPr fontId="8" type="noConversion"/>
  <printOptions horizontalCentered="1"/>
  <pageMargins left="0.59055118110236227" right="0.59055118110236227" top="0.78740157480314965" bottom="0.78740157480314965" header="0.59055118110236227" footer="0.59055118110236227"/>
  <pageSetup paperSize="9" scale="57"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I41"/>
  <sheetViews>
    <sheetView workbookViewId="0"/>
  </sheetViews>
  <sheetFormatPr defaultColWidth="9.140625" defaultRowHeight="12.75" x14ac:dyDescent="0.2"/>
  <cols>
    <col min="1" max="1" width="7" style="29" customWidth="1"/>
    <col min="2" max="2" width="59.7109375" style="29" customWidth="1"/>
    <col min="3" max="4" width="16.7109375" style="31" customWidth="1"/>
    <col min="5" max="5" width="16.7109375" style="40" customWidth="1"/>
    <col min="6" max="8" width="16.7109375" style="31" customWidth="1"/>
    <col min="9" max="9" width="10.7109375" style="37" customWidth="1"/>
    <col min="10" max="16384" width="9.140625" style="29"/>
  </cols>
  <sheetData>
    <row r="1" spans="1:9" ht="15" customHeight="1" x14ac:dyDescent="0.35">
      <c r="A1" s="27"/>
      <c r="B1" s="27"/>
    </row>
    <row r="2" spans="1:9" ht="20.100000000000001" customHeight="1" x14ac:dyDescent="0.35">
      <c r="A2" s="27" t="s">
        <v>506</v>
      </c>
      <c r="B2" s="27"/>
    </row>
    <row r="3" spans="1:9" ht="15" customHeight="1" x14ac:dyDescent="0.2"/>
    <row r="4" spans="1:9" ht="20.100000000000001" customHeight="1" x14ac:dyDescent="0.3">
      <c r="A4" s="39" t="s">
        <v>75</v>
      </c>
      <c r="B4" s="39"/>
    </row>
    <row r="5" spans="1:9" ht="15" customHeight="1" x14ac:dyDescent="0.3">
      <c r="A5" s="39"/>
      <c r="B5" s="39"/>
    </row>
    <row r="6" spans="1:9" ht="15" customHeight="1" thickBot="1" x14ac:dyDescent="0.3">
      <c r="I6" s="32" t="s">
        <v>0</v>
      </c>
    </row>
    <row r="7" spans="1:9" s="47" customFormat="1" ht="20.100000000000001" customHeight="1" x14ac:dyDescent="0.2">
      <c r="A7" s="1200" t="s">
        <v>1</v>
      </c>
      <c r="B7" s="1266"/>
      <c r="C7" s="1198" t="s">
        <v>365</v>
      </c>
      <c r="D7" s="1199"/>
      <c r="E7" s="1198" t="s">
        <v>440</v>
      </c>
      <c r="F7" s="1202"/>
      <c r="G7" s="1199"/>
      <c r="H7" s="1203" t="s">
        <v>507</v>
      </c>
      <c r="I7" s="1205" t="s">
        <v>509</v>
      </c>
    </row>
    <row r="8" spans="1:9" s="47" customFormat="1" ht="35.1" customHeight="1" thickBot="1" x14ac:dyDescent="0.25">
      <c r="A8" s="1201"/>
      <c r="B8" s="1267"/>
      <c r="C8" s="264" t="s">
        <v>109</v>
      </c>
      <c r="D8" s="942" t="s">
        <v>594</v>
      </c>
      <c r="E8" s="264" t="s">
        <v>109</v>
      </c>
      <c r="F8" s="265" t="s">
        <v>589</v>
      </c>
      <c r="G8" s="266" t="s">
        <v>595</v>
      </c>
      <c r="H8" s="1204"/>
      <c r="I8" s="1206"/>
    </row>
    <row r="9" spans="1:9" ht="20.100000000000001" customHeight="1" x14ac:dyDescent="0.2">
      <c r="A9" s="243" t="s">
        <v>51</v>
      </c>
      <c r="B9" s="244"/>
      <c r="C9" s="741">
        <f t="shared" ref="C9:H9" si="0">SUM(C10:C25)</f>
        <v>356000</v>
      </c>
      <c r="D9" s="246">
        <f t="shared" si="0"/>
        <v>413096.12</v>
      </c>
      <c r="E9" s="741">
        <f t="shared" si="0"/>
        <v>639500</v>
      </c>
      <c r="F9" s="737">
        <f t="shared" si="0"/>
        <v>1023846.2</v>
      </c>
      <c r="G9" s="252">
        <f t="shared" si="0"/>
        <v>275864.34999999998</v>
      </c>
      <c r="H9" s="835">
        <f t="shared" si="0"/>
        <v>489900</v>
      </c>
      <c r="I9" s="1193">
        <f t="shared" ref="I9:I35" si="1">H9/E9*100</f>
        <v>76.606724003127454</v>
      </c>
    </row>
    <row r="10" spans="1:9" s="48" customFormat="1" ht="15" customHeight="1" x14ac:dyDescent="0.2">
      <c r="A10" s="1288" t="s">
        <v>96</v>
      </c>
      <c r="B10" s="247" t="s">
        <v>300</v>
      </c>
      <c r="C10" s="249">
        <v>0</v>
      </c>
      <c r="D10" s="248">
        <v>200</v>
      </c>
      <c r="E10" s="249">
        <v>0</v>
      </c>
      <c r="F10" s="738">
        <v>550</v>
      </c>
      <c r="G10" s="250">
        <v>550</v>
      </c>
      <c r="H10" s="1103">
        <v>0</v>
      </c>
      <c r="I10" s="395" t="s">
        <v>60</v>
      </c>
    </row>
    <row r="11" spans="1:9" s="48" customFormat="1" ht="15" customHeight="1" x14ac:dyDescent="0.2">
      <c r="A11" s="1289"/>
      <c r="B11" s="247" t="s">
        <v>292</v>
      </c>
      <c r="C11" s="249">
        <v>32000</v>
      </c>
      <c r="D11" s="248">
        <v>34105.31</v>
      </c>
      <c r="E11" s="249">
        <v>61000</v>
      </c>
      <c r="F11" s="738">
        <v>55991.6</v>
      </c>
      <c r="G11" s="250">
        <v>2545.9</v>
      </c>
      <c r="H11" s="1103">
        <v>61000</v>
      </c>
      <c r="I11" s="395">
        <f t="shared" si="1"/>
        <v>100</v>
      </c>
    </row>
    <row r="12" spans="1:9" s="48" customFormat="1" ht="15" customHeight="1" x14ac:dyDescent="0.2">
      <c r="A12" s="1289"/>
      <c r="B12" s="247" t="s">
        <v>233</v>
      </c>
      <c r="C12" s="249">
        <v>12000</v>
      </c>
      <c r="D12" s="248">
        <v>25265.16</v>
      </c>
      <c r="E12" s="249">
        <v>30000</v>
      </c>
      <c r="F12" s="738">
        <v>35320.910000000003</v>
      </c>
      <c r="G12" s="250">
        <v>32938.910000000003</v>
      </c>
      <c r="H12" s="1103">
        <v>30000</v>
      </c>
      <c r="I12" s="395">
        <f t="shared" si="1"/>
        <v>100</v>
      </c>
    </row>
    <row r="13" spans="1:9" s="48" customFormat="1" ht="15" customHeight="1" x14ac:dyDescent="0.2">
      <c r="A13" s="1289"/>
      <c r="B13" s="247" t="s">
        <v>245</v>
      </c>
      <c r="C13" s="249">
        <v>0</v>
      </c>
      <c r="D13" s="248">
        <v>5586.73</v>
      </c>
      <c r="E13" s="249">
        <v>10000</v>
      </c>
      <c r="F13" s="738">
        <v>16049.49</v>
      </c>
      <c r="G13" s="250">
        <v>8991.57</v>
      </c>
      <c r="H13" s="1103">
        <v>10000</v>
      </c>
      <c r="I13" s="395">
        <f t="shared" si="1"/>
        <v>100</v>
      </c>
    </row>
    <row r="14" spans="1:9" s="48" customFormat="1" ht="15" customHeight="1" x14ac:dyDescent="0.2">
      <c r="A14" s="1289"/>
      <c r="B14" s="247" t="s">
        <v>311</v>
      </c>
      <c r="C14" s="249">
        <v>6000</v>
      </c>
      <c r="D14" s="248">
        <v>376.41</v>
      </c>
      <c r="E14" s="249">
        <v>6000</v>
      </c>
      <c r="F14" s="738">
        <v>15960.08</v>
      </c>
      <c r="G14" s="250">
        <v>9465.2999999999993</v>
      </c>
      <c r="H14" s="1103">
        <v>6000</v>
      </c>
      <c r="I14" s="395">
        <f t="shared" si="1"/>
        <v>100</v>
      </c>
    </row>
    <row r="15" spans="1:9" s="48" customFormat="1" ht="15" customHeight="1" x14ac:dyDescent="0.2">
      <c r="A15" s="1289"/>
      <c r="B15" s="247" t="s">
        <v>79</v>
      </c>
      <c r="C15" s="249">
        <v>0</v>
      </c>
      <c r="D15" s="248">
        <v>2943.34</v>
      </c>
      <c r="E15" s="249">
        <v>0</v>
      </c>
      <c r="F15" s="738">
        <v>6654.86</v>
      </c>
      <c r="G15" s="250">
        <v>4767.12</v>
      </c>
      <c r="H15" s="1103">
        <v>0</v>
      </c>
      <c r="I15" s="395" t="s">
        <v>60</v>
      </c>
    </row>
    <row r="16" spans="1:9" s="48" customFormat="1" ht="15" customHeight="1" x14ac:dyDescent="0.2">
      <c r="A16" s="1289"/>
      <c r="B16" s="247" t="s">
        <v>357</v>
      </c>
      <c r="C16" s="249">
        <v>40000</v>
      </c>
      <c r="D16" s="248">
        <v>39650.620000000003</v>
      </c>
      <c r="E16" s="249">
        <v>54000</v>
      </c>
      <c r="F16" s="738">
        <v>209000</v>
      </c>
      <c r="G16" s="250">
        <v>33434.67</v>
      </c>
      <c r="H16" s="1103">
        <v>65000</v>
      </c>
      <c r="I16" s="395">
        <f t="shared" si="1"/>
        <v>120.37037037037037</v>
      </c>
    </row>
    <row r="17" spans="1:9" s="48" customFormat="1" ht="15" customHeight="1" x14ac:dyDescent="0.2">
      <c r="A17" s="1289"/>
      <c r="B17" s="247" t="s">
        <v>80</v>
      </c>
      <c r="C17" s="249">
        <v>80000</v>
      </c>
      <c r="D17" s="248">
        <v>93346.47</v>
      </c>
      <c r="E17" s="249">
        <v>243000</v>
      </c>
      <c r="F17" s="738">
        <v>282681.28999999998</v>
      </c>
      <c r="G17" s="250">
        <v>77702.55</v>
      </c>
      <c r="H17" s="1103">
        <v>70000</v>
      </c>
      <c r="I17" s="395">
        <f t="shared" si="1"/>
        <v>28.806584362139919</v>
      </c>
    </row>
    <row r="18" spans="1:9" s="48" customFormat="1" ht="15" customHeight="1" x14ac:dyDescent="0.2">
      <c r="A18" s="1289"/>
      <c r="B18" s="247" t="s">
        <v>221</v>
      </c>
      <c r="C18" s="249">
        <v>0</v>
      </c>
      <c r="D18" s="248">
        <v>16000</v>
      </c>
      <c r="E18" s="249">
        <v>0</v>
      </c>
      <c r="F18" s="739">
        <v>12000</v>
      </c>
      <c r="G18" s="930">
        <v>0</v>
      </c>
      <c r="H18" s="1103">
        <v>12000</v>
      </c>
      <c r="I18" s="395" t="s">
        <v>60</v>
      </c>
    </row>
    <row r="19" spans="1:9" s="48" customFormat="1" ht="15" customHeight="1" x14ac:dyDescent="0.2">
      <c r="A19" s="1289"/>
      <c r="B19" s="247" t="s">
        <v>264</v>
      </c>
      <c r="C19" s="249">
        <v>4000</v>
      </c>
      <c r="D19" s="248">
        <v>15532.87</v>
      </c>
      <c r="E19" s="249">
        <v>10000</v>
      </c>
      <c r="F19" s="739">
        <v>33295.08</v>
      </c>
      <c r="G19" s="368">
        <v>8996.35</v>
      </c>
      <c r="H19" s="1103">
        <v>10000</v>
      </c>
      <c r="I19" s="395">
        <f t="shared" si="1"/>
        <v>100</v>
      </c>
    </row>
    <row r="20" spans="1:9" s="48" customFormat="1" ht="15" customHeight="1" x14ac:dyDescent="0.2">
      <c r="A20" s="1289"/>
      <c r="B20" s="247" t="s">
        <v>280</v>
      </c>
      <c r="C20" s="249">
        <v>0</v>
      </c>
      <c r="D20" s="248">
        <v>3900</v>
      </c>
      <c r="E20" s="249">
        <v>0</v>
      </c>
      <c r="F20" s="739">
        <v>18304</v>
      </c>
      <c r="G20" s="368">
        <v>600</v>
      </c>
      <c r="H20" s="1103">
        <v>0</v>
      </c>
      <c r="I20" s="395" t="s">
        <v>60</v>
      </c>
    </row>
    <row r="21" spans="1:9" s="48" customFormat="1" ht="15" customHeight="1" x14ac:dyDescent="0.2">
      <c r="A21" s="1289"/>
      <c r="B21" s="247" t="s">
        <v>246</v>
      </c>
      <c r="C21" s="249">
        <v>12000</v>
      </c>
      <c r="D21" s="248">
        <v>18143.59</v>
      </c>
      <c r="E21" s="249">
        <v>20000</v>
      </c>
      <c r="F21" s="738">
        <v>32299.79</v>
      </c>
      <c r="G21" s="250">
        <v>17099.84</v>
      </c>
      <c r="H21" s="1103">
        <v>20000</v>
      </c>
      <c r="I21" s="395">
        <f t="shared" si="1"/>
        <v>100</v>
      </c>
    </row>
    <row r="22" spans="1:9" s="48" customFormat="1" ht="15" customHeight="1" x14ac:dyDescent="0.2">
      <c r="A22" s="1289"/>
      <c r="B22" s="247" t="s">
        <v>358</v>
      </c>
      <c r="C22" s="249">
        <v>110000</v>
      </c>
      <c r="D22" s="248">
        <v>99435.95</v>
      </c>
      <c r="E22" s="249">
        <v>121000</v>
      </c>
      <c r="F22" s="738">
        <v>211029.14</v>
      </c>
      <c r="G22" s="250">
        <v>43541.91</v>
      </c>
      <c r="H22" s="1103">
        <v>121000</v>
      </c>
      <c r="I22" s="395">
        <f t="shared" si="1"/>
        <v>100</v>
      </c>
    </row>
    <row r="23" spans="1:9" s="48" customFormat="1" ht="15" customHeight="1" x14ac:dyDescent="0.2">
      <c r="A23" s="1289"/>
      <c r="B23" s="247" t="s">
        <v>19</v>
      </c>
      <c r="C23" s="249">
        <v>40000</v>
      </c>
      <c r="D23" s="248">
        <v>52191</v>
      </c>
      <c r="E23" s="249">
        <v>61000</v>
      </c>
      <c r="F23" s="738">
        <v>67906.98</v>
      </c>
      <c r="G23" s="250">
        <v>33427.25</v>
      </c>
      <c r="H23" s="1103">
        <v>59900</v>
      </c>
      <c r="I23" s="395">
        <f t="shared" si="1"/>
        <v>98.196721311475414</v>
      </c>
    </row>
    <row r="24" spans="1:9" s="48" customFormat="1" ht="15" customHeight="1" x14ac:dyDescent="0.2">
      <c r="A24" s="1289"/>
      <c r="B24" s="931" t="s">
        <v>234</v>
      </c>
      <c r="C24" s="249">
        <v>0</v>
      </c>
      <c r="D24" s="248">
        <v>784.61</v>
      </c>
      <c r="E24" s="249">
        <v>1500</v>
      </c>
      <c r="F24" s="738">
        <v>1802.98</v>
      </c>
      <c r="G24" s="250">
        <v>1802.98</v>
      </c>
      <c r="H24" s="1103">
        <v>3000</v>
      </c>
      <c r="I24" s="395">
        <f t="shared" si="1"/>
        <v>200</v>
      </c>
    </row>
    <row r="25" spans="1:9" s="48" customFormat="1" ht="15" customHeight="1" x14ac:dyDescent="0.2">
      <c r="A25" s="1290"/>
      <c r="B25" s="247" t="s">
        <v>283</v>
      </c>
      <c r="C25" s="249">
        <v>20000</v>
      </c>
      <c r="D25" s="248">
        <v>5634.06</v>
      </c>
      <c r="E25" s="249">
        <v>22000</v>
      </c>
      <c r="F25" s="738">
        <v>25000</v>
      </c>
      <c r="G25" s="250">
        <v>0</v>
      </c>
      <c r="H25" s="1103">
        <v>22000</v>
      </c>
      <c r="I25" s="395">
        <f t="shared" si="1"/>
        <v>100</v>
      </c>
    </row>
    <row r="26" spans="1:9" ht="48.75" customHeight="1" x14ac:dyDescent="0.2">
      <c r="A26" s="1272" t="s">
        <v>93</v>
      </c>
      <c r="B26" s="1273"/>
      <c r="C26" s="245">
        <v>0</v>
      </c>
      <c r="D26" s="349">
        <v>1250</v>
      </c>
      <c r="E26" s="245">
        <v>0</v>
      </c>
      <c r="F26" s="737">
        <v>0</v>
      </c>
      <c r="G26" s="246">
        <v>0</v>
      </c>
      <c r="H26" s="835">
        <v>0</v>
      </c>
      <c r="I26" s="1194" t="s">
        <v>60</v>
      </c>
    </row>
    <row r="27" spans="1:9" ht="20.100000000000001" customHeight="1" x14ac:dyDescent="0.2">
      <c r="A27" s="107" t="s">
        <v>99</v>
      </c>
      <c r="B27" s="251"/>
      <c r="C27" s="245">
        <v>0</v>
      </c>
      <c r="D27" s="246">
        <v>1002.39</v>
      </c>
      <c r="E27" s="245">
        <v>0</v>
      </c>
      <c r="F27" s="737">
        <v>0</v>
      </c>
      <c r="G27" s="246">
        <v>0</v>
      </c>
      <c r="H27" s="835">
        <v>0</v>
      </c>
      <c r="I27" s="173" t="s">
        <v>60</v>
      </c>
    </row>
    <row r="28" spans="1:9" ht="30.75" customHeight="1" x14ac:dyDescent="0.2">
      <c r="A28" s="1272" t="s">
        <v>74</v>
      </c>
      <c r="B28" s="1273"/>
      <c r="C28" s="253">
        <v>0</v>
      </c>
      <c r="D28" s="254">
        <v>0</v>
      </c>
      <c r="E28" s="253">
        <v>0</v>
      </c>
      <c r="F28" s="255">
        <v>0</v>
      </c>
      <c r="G28" s="254">
        <v>0</v>
      </c>
      <c r="H28" s="1104">
        <v>0</v>
      </c>
      <c r="I28" s="173" t="s">
        <v>60</v>
      </c>
    </row>
    <row r="29" spans="1:9" ht="29.25" customHeight="1" x14ac:dyDescent="0.2">
      <c r="A29" s="1272" t="s">
        <v>427</v>
      </c>
      <c r="B29" s="1273"/>
      <c r="C29" s="253">
        <v>40000</v>
      </c>
      <c r="D29" s="254">
        <v>402688.89</v>
      </c>
      <c r="E29" s="253">
        <v>40000</v>
      </c>
      <c r="F29" s="255">
        <v>283108.55</v>
      </c>
      <c r="G29" s="254">
        <v>202790.05</v>
      </c>
      <c r="H29" s="1104">
        <f>+'Kapitálové výdaje v kapitolách'!D11</f>
        <v>40000</v>
      </c>
      <c r="I29" s="173">
        <f t="shared" si="1"/>
        <v>100</v>
      </c>
    </row>
    <row r="30" spans="1:9" ht="29.25" customHeight="1" x14ac:dyDescent="0.2">
      <c r="A30" s="1272" t="s">
        <v>302</v>
      </c>
      <c r="B30" s="1273"/>
      <c r="C30" s="253">
        <v>600000</v>
      </c>
      <c r="D30" s="254">
        <v>813455.77</v>
      </c>
      <c r="E30" s="253">
        <v>925000</v>
      </c>
      <c r="F30" s="255">
        <v>2242818.77</v>
      </c>
      <c r="G30" s="255">
        <v>843594.1</v>
      </c>
      <c r="H30" s="1104">
        <f>+'Sumář příjmů a výdajů'!G56</f>
        <v>1170000</v>
      </c>
      <c r="I30" s="173">
        <f t="shared" si="1"/>
        <v>126.48648648648648</v>
      </c>
    </row>
    <row r="31" spans="1:9" ht="30" customHeight="1" x14ac:dyDescent="0.2">
      <c r="A31" s="1272" t="s">
        <v>303</v>
      </c>
      <c r="B31" s="1273"/>
      <c r="C31" s="253">
        <v>1296000</v>
      </c>
      <c r="D31" s="254">
        <v>787360.46</v>
      </c>
      <c r="E31" s="253">
        <v>951491</v>
      </c>
      <c r="F31" s="255">
        <v>960012.28</v>
      </c>
      <c r="G31" s="623">
        <v>627065.44999999995</v>
      </c>
      <c r="H31" s="1104">
        <v>157390</v>
      </c>
      <c r="I31" s="173">
        <f t="shared" si="1"/>
        <v>16.541407117881306</v>
      </c>
    </row>
    <row r="32" spans="1:9" ht="30" customHeight="1" x14ac:dyDescent="0.2">
      <c r="A32" s="1272" t="s">
        <v>371</v>
      </c>
      <c r="B32" s="1273"/>
      <c r="C32" s="253">
        <v>2593000</v>
      </c>
      <c r="D32" s="254">
        <v>2129482.31</v>
      </c>
      <c r="E32" s="253">
        <v>1245080</v>
      </c>
      <c r="F32" s="255">
        <v>2870614.25</v>
      </c>
      <c r="G32" s="254">
        <v>756313.45</v>
      </c>
      <c r="H32" s="1104">
        <v>1481600</v>
      </c>
      <c r="I32" s="173">
        <f t="shared" si="1"/>
        <v>118.99636971118322</v>
      </c>
    </row>
    <row r="33" spans="1:9" ht="30" customHeight="1" x14ac:dyDescent="0.2">
      <c r="A33" s="1272" t="s">
        <v>372</v>
      </c>
      <c r="B33" s="1273"/>
      <c r="C33" s="253">
        <v>283703</v>
      </c>
      <c r="D33" s="254">
        <v>2190.08</v>
      </c>
      <c r="E33" s="253">
        <v>54535</v>
      </c>
      <c r="F33" s="255">
        <v>54535</v>
      </c>
      <c r="G33" s="254">
        <v>219.36</v>
      </c>
      <c r="H33" s="1104">
        <v>151038</v>
      </c>
      <c r="I33" s="173">
        <f t="shared" si="1"/>
        <v>276.95608324928946</v>
      </c>
    </row>
    <row r="34" spans="1:9" ht="32.25" customHeight="1" x14ac:dyDescent="0.2">
      <c r="A34" s="1272" t="s">
        <v>100</v>
      </c>
      <c r="B34" s="1273"/>
      <c r="C34" s="253">
        <v>389000</v>
      </c>
      <c r="D34" s="254">
        <v>86771.78</v>
      </c>
      <c r="E34" s="253">
        <v>174837</v>
      </c>
      <c r="F34" s="255">
        <v>203754.78</v>
      </c>
      <c r="G34" s="254">
        <v>73664.2</v>
      </c>
      <c r="H34" s="1104">
        <v>377000</v>
      </c>
      <c r="I34" s="173">
        <f t="shared" si="1"/>
        <v>215.62941482638115</v>
      </c>
    </row>
    <row r="35" spans="1:9" ht="20.100000000000001" customHeight="1" x14ac:dyDescent="0.2">
      <c r="A35" s="1272" t="s">
        <v>73</v>
      </c>
      <c r="B35" s="1273"/>
      <c r="C35" s="253">
        <v>191208</v>
      </c>
      <c r="D35" s="254">
        <v>192038.76</v>
      </c>
      <c r="E35" s="253">
        <f>+'Dluhová služba '!G37</f>
        <v>191105</v>
      </c>
      <c r="F35" s="255">
        <f>+'Dluhová služba '!H37</f>
        <v>191105</v>
      </c>
      <c r="G35" s="254">
        <v>143082.25</v>
      </c>
      <c r="H35" s="1104">
        <f>+'Dluhová služba '!J37</f>
        <v>120546</v>
      </c>
      <c r="I35" s="173">
        <f t="shared" si="1"/>
        <v>63.078412391093899</v>
      </c>
    </row>
    <row r="36" spans="1:9" ht="20.100000000000001" customHeight="1" thickBot="1" x14ac:dyDescent="0.25">
      <c r="A36" s="1272" t="s">
        <v>72</v>
      </c>
      <c r="B36" s="1273"/>
      <c r="C36" s="742">
        <v>0</v>
      </c>
      <c r="D36" s="257">
        <v>2121985.0499999998</v>
      </c>
      <c r="E36" s="742">
        <v>0</v>
      </c>
      <c r="F36" s="740">
        <v>1814994.44</v>
      </c>
      <c r="G36" s="257">
        <v>1149460.6399999999</v>
      </c>
      <c r="H36" s="213">
        <v>0</v>
      </c>
      <c r="I36" s="173" t="s">
        <v>60</v>
      </c>
    </row>
    <row r="37" spans="1:9" s="101" customFormat="1" ht="30" customHeight="1" thickBot="1" x14ac:dyDescent="0.25">
      <c r="A37" s="681" t="s">
        <v>78</v>
      </c>
      <c r="B37" s="681"/>
      <c r="C37" s="272">
        <f>C9+SUM(C27:C36)</f>
        <v>5748911</v>
      </c>
      <c r="D37" s="682">
        <f>D9+SUM(D26:D36)</f>
        <v>6951321.6100000003</v>
      </c>
      <c r="E37" s="272">
        <f>E9+SUM(E26:E36)</f>
        <v>4221548</v>
      </c>
      <c r="F37" s="275">
        <f>F9+SUM(F26:F36)</f>
        <v>9644789.2699999996</v>
      </c>
      <c r="G37" s="682">
        <f>G9+SUM(G26:G36)</f>
        <v>4072053.85</v>
      </c>
      <c r="H37" s="214">
        <f>H9+SUM(H26:H36)</f>
        <v>3987474</v>
      </c>
      <c r="I37" s="397">
        <f>H37/E37*100</f>
        <v>94.455256697306297</v>
      </c>
    </row>
    <row r="39" spans="1:9" x14ac:dyDescent="0.2">
      <c r="E39" s="31"/>
    </row>
    <row r="40" spans="1:9" x14ac:dyDescent="0.2">
      <c r="E40" s="31"/>
    </row>
    <row r="41" spans="1:9" x14ac:dyDescent="0.2">
      <c r="E41" s="242"/>
    </row>
  </sheetData>
  <mergeCells count="16">
    <mergeCell ref="E7:G7"/>
    <mergeCell ref="H7:H8"/>
    <mergeCell ref="I7:I8"/>
    <mergeCell ref="A7:B8"/>
    <mergeCell ref="A10:A25"/>
    <mergeCell ref="A33:B33"/>
    <mergeCell ref="A34:B34"/>
    <mergeCell ref="A35:B35"/>
    <mergeCell ref="A36:B36"/>
    <mergeCell ref="C7:D7"/>
    <mergeCell ref="A28:B28"/>
    <mergeCell ref="A29:B29"/>
    <mergeCell ref="A30:B30"/>
    <mergeCell ref="A32:B32"/>
    <mergeCell ref="A26:B26"/>
    <mergeCell ref="A31:B31"/>
  </mergeCells>
  <printOptions horizontalCentered="1"/>
  <pageMargins left="0.59055118110236227" right="0.59055118110236227" top="0.78740157480314965" bottom="0.78740157480314965" header="0.59055118110236227" footer="0.59055118110236227"/>
  <pageSetup paperSize="9" scale="6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D411"/>
  <sheetViews>
    <sheetView workbookViewId="0"/>
  </sheetViews>
  <sheetFormatPr defaultColWidth="9.140625" defaultRowHeight="12.75" x14ac:dyDescent="0.2"/>
  <cols>
    <col min="1" max="1" width="10.7109375" style="680" customWidth="1"/>
    <col min="2" max="2" width="10.7109375" style="671" customWidth="1"/>
    <col min="3" max="3" width="99.140625" style="324" customWidth="1"/>
    <col min="4" max="4" width="20.7109375" style="324" customWidth="1"/>
    <col min="5" max="5" width="9.140625" style="71"/>
    <col min="6" max="6" width="9.140625" style="71" customWidth="1"/>
    <col min="7" max="16384" width="9.140625" style="71"/>
  </cols>
  <sheetData>
    <row r="1" spans="1:4" ht="15" customHeight="1" x14ac:dyDescent="0.2"/>
    <row r="2" spans="1:4" ht="23.25" x14ac:dyDescent="0.2">
      <c r="A2" s="672" t="s">
        <v>506</v>
      </c>
    </row>
    <row r="3" spans="1:4" ht="15" customHeight="1" x14ac:dyDescent="0.2"/>
    <row r="4" spans="1:4" ht="20.100000000000001" customHeight="1" x14ac:dyDescent="0.2">
      <c r="A4" s="673" t="s">
        <v>341</v>
      </c>
    </row>
    <row r="5" spans="1:4" ht="15" customHeight="1" x14ac:dyDescent="0.2">
      <c r="A5" s="673"/>
    </row>
    <row r="6" spans="1:4" ht="15" customHeight="1" thickBot="1" x14ac:dyDescent="0.25">
      <c r="D6" s="580" t="s">
        <v>0</v>
      </c>
    </row>
    <row r="7" spans="1:4" ht="35.1" customHeight="1" thickBot="1" x14ac:dyDescent="0.25">
      <c r="A7" s="229" t="s">
        <v>25</v>
      </c>
      <c r="B7" s="230" t="s">
        <v>88</v>
      </c>
      <c r="C7" s="679" t="s">
        <v>90</v>
      </c>
      <c r="D7" s="231" t="s">
        <v>511</v>
      </c>
    </row>
    <row r="8" spans="1:4" ht="35.1" customHeight="1" x14ac:dyDescent="0.2">
      <c r="A8" s="674" t="s">
        <v>69</v>
      </c>
      <c r="B8" s="675" t="s">
        <v>347</v>
      </c>
      <c r="C8" s="727" t="s">
        <v>585</v>
      </c>
      <c r="D8" s="835">
        <v>25000</v>
      </c>
    </row>
    <row r="9" spans="1:4" ht="30" customHeight="1" x14ac:dyDescent="0.2">
      <c r="A9" s="674" t="s">
        <v>22</v>
      </c>
      <c r="B9" s="675" t="s">
        <v>356</v>
      </c>
      <c r="C9" s="810" t="s">
        <v>425</v>
      </c>
      <c r="D9" s="835">
        <v>10000</v>
      </c>
    </row>
    <row r="10" spans="1:4" ht="20.25" customHeight="1" thickBot="1" x14ac:dyDescent="0.25">
      <c r="A10" s="674" t="s">
        <v>226</v>
      </c>
      <c r="B10" s="675" t="s">
        <v>345</v>
      </c>
      <c r="C10" s="676" t="s">
        <v>351</v>
      </c>
      <c r="D10" s="835">
        <v>5000</v>
      </c>
    </row>
    <row r="11" spans="1:4" s="101" customFormat="1" ht="30.75" customHeight="1" thickBot="1" x14ac:dyDescent="0.25">
      <c r="A11" s="1291" t="s">
        <v>344</v>
      </c>
      <c r="B11" s="1292"/>
      <c r="C11" s="1292"/>
      <c r="D11" s="214">
        <f>SUM(D8:D10)</f>
        <v>40000</v>
      </c>
    </row>
    <row r="411" spans="1:2" s="324" customFormat="1" x14ac:dyDescent="0.2">
      <c r="A411" s="677"/>
      <c r="B411" s="671"/>
    </row>
  </sheetData>
  <mergeCells count="1">
    <mergeCell ref="A11:C11"/>
  </mergeCells>
  <pageMargins left="0.70866141732283472" right="0.70866141732283472" top="0.78740157480314965" bottom="0.78740157480314965" header="0.31496062992125984" footer="0.31496062992125984"/>
  <pageSetup paperSize="9" scale="9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F418"/>
  <sheetViews>
    <sheetView workbookViewId="0"/>
  </sheetViews>
  <sheetFormatPr defaultColWidth="9.140625" defaultRowHeight="12.75" x14ac:dyDescent="0.2"/>
  <cols>
    <col min="1" max="1" width="10.7109375" style="47" customWidth="1"/>
    <col min="2" max="2" width="10.7109375" style="49" customWidth="1"/>
    <col min="3" max="3" width="88.7109375" style="40" customWidth="1"/>
    <col min="4" max="4" width="20.7109375" style="40" customWidth="1"/>
    <col min="5" max="5" width="9.140625" style="29"/>
    <col min="6" max="6" width="9.140625" style="29" customWidth="1"/>
    <col min="7" max="16384" width="9.140625" style="29"/>
  </cols>
  <sheetData>
    <row r="1" spans="1:6" ht="15" customHeight="1" x14ac:dyDescent="0.2"/>
    <row r="2" spans="1:6" ht="23.25" x14ac:dyDescent="0.35">
      <c r="A2" s="30" t="s">
        <v>506</v>
      </c>
    </row>
    <row r="3" spans="1:6" ht="15" customHeight="1" x14ac:dyDescent="0.2"/>
    <row r="4" spans="1:6" ht="20.100000000000001" customHeight="1" x14ac:dyDescent="0.3">
      <c r="A4" s="166" t="s">
        <v>231</v>
      </c>
    </row>
    <row r="5" spans="1:6" ht="15" customHeight="1" x14ac:dyDescent="0.3">
      <c r="A5" s="166"/>
    </row>
    <row r="6" spans="1:6" ht="15" customHeight="1" thickBot="1" x14ac:dyDescent="0.3">
      <c r="D6" s="45" t="s">
        <v>0</v>
      </c>
    </row>
    <row r="7" spans="1:6" s="71" customFormat="1" ht="35.1" customHeight="1" thickBot="1" x14ac:dyDescent="0.25">
      <c r="A7" s="229" t="s">
        <v>25</v>
      </c>
      <c r="B7" s="230" t="s">
        <v>88</v>
      </c>
      <c r="C7" s="679" t="s">
        <v>90</v>
      </c>
      <c r="D7" s="231" t="s">
        <v>511</v>
      </c>
    </row>
    <row r="8" spans="1:6" s="71" customFormat="1" ht="15.95" customHeight="1" x14ac:dyDescent="0.2">
      <c r="A8" s="1155" t="s">
        <v>69</v>
      </c>
      <c r="B8" s="675" t="s">
        <v>347</v>
      </c>
      <c r="C8" s="727" t="s">
        <v>584</v>
      </c>
      <c r="D8" s="836">
        <v>60759</v>
      </c>
    </row>
    <row r="9" spans="1:6" s="71" customFormat="1" ht="15" customHeight="1" x14ac:dyDescent="0.2">
      <c r="A9" s="1150" t="s">
        <v>581</v>
      </c>
      <c r="B9" s="675" t="s">
        <v>582</v>
      </c>
      <c r="C9" s="727" t="s">
        <v>597</v>
      </c>
      <c r="D9" s="836">
        <v>10000</v>
      </c>
    </row>
    <row r="10" spans="1:6" s="71" customFormat="1" ht="15.95" customHeight="1" x14ac:dyDescent="0.2">
      <c r="A10" s="656" t="s">
        <v>282</v>
      </c>
      <c r="B10" s="662" t="s">
        <v>574</v>
      </c>
      <c r="C10" s="781" t="s">
        <v>575</v>
      </c>
      <c r="D10" s="836">
        <v>10000</v>
      </c>
    </row>
    <row r="11" spans="1:6" s="71" customFormat="1" ht="15.95" customHeight="1" x14ac:dyDescent="0.2">
      <c r="A11" s="656" t="s">
        <v>282</v>
      </c>
      <c r="B11" s="662" t="s">
        <v>586</v>
      </c>
      <c r="C11" s="781" t="s">
        <v>599</v>
      </c>
      <c r="D11" s="836">
        <v>50000</v>
      </c>
      <c r="F11" s="982"/>
    </row>
    <row r="12" spans="1:6" s="71" customFormat="1" ht="15.95" customHeight="1" x14ac:dyDescent="0.2">
      <c r="A12" s="656" t="s">
        <v>282</v>
      </c>
      <c r="B12" s="662" t="s">
        <v>574</v>
      </c>
      <c r="C12" s="781" t="s">
        <v>577</v>
      </c>
      <c r="D12" s="836">
        <v>7000</v>
      </c>
    </row>
    <row r="13" spans="1:6" s="71" customFormat="1" ht="15.95" customHeight="1" x14ac:dyDescent="0.2">
      <c r="A13" s="656" t="s">
        <v>282</v>
      </c>
      <c r="B13" s="662" t="s">
        <v>572</v>
      </c>
      <c r="C13" s="781" t="s">
        <v>534</v>
      </c>
      <c r="D13" s="836">
        <v>135000</v>
      </c>
    </row>
    <row r="14" spans="1:6" s="71" customFormat="1" ht="15.95" customHeight="1" x14ac:dyDescent="0.2">
      <c r="A14" s="656" t="s">
        <v>282</v>
      </c>
      <c r="B14" s="662" t="s">
        <v>572</v>
      </c>
      <c r="C14" s="781" t="s">
        <v>573</v>
      </c>
      <c r="D14" s="836">
        <v>120000</v>
      </c>
    </row>
    <row r="15" spans="1:6" s="71" customFormat="1" ht="15.95" customHeight="1" thickBot="1" x14ac:dyDescent="0.25">
      <c r="A15" s="656" t="s">
        <v>282</v>
      </c>
      <c r="B15" s="662" t="s">
        <v>572</v>
      </c>
      <c r="C15" s="781" t="s">
        <v>576</v>
      </c>
      <c r="D15" s="836">
        <v>20000</v>
      </c>
    </row>
    <row r="16" spans="1:6" s="101" customFormat="1" ht="30.75" customHeight="1" thickBot="1" x14ac:dyDescent="0.25">
      <c r="A16" s="1291" t="s">
        <v>235</v>
      </c>
      <c r="B16" s="1292"/>
      <c r="C16" s="1292"/>
      <c r="D16" s="214">
        <f>SUM(D8:D15)</f>
        <v>412759</v>
      </c>
    </row>
    <row r="19" spans="1:4" ht="14.25" customHeight="1" x14ac:dyDescent="0.2">
      <c r="A19" s="50"/>
      <c r="B19" s="29"/>
      <c r="C19" s="29"/>
      <c r="D19" s="29"/>
    </row>
    <row r="418" spans="1:2" s="40" customFormat="1" x14ac:dyDescent="0.2">
      <c r="A418" s="51"/>
      <c r="B418" s="49"/>
    </row>
  </sheetData>
  <sortState xmlns:xlrd2="http://schemas.microsoft.com/office/spreadsheetml/2017/richdata2" ref="A8:D15">
    <sortCondition ref="A8:A15"/>
  </sortState>
  <mergeCells count="1">
    <mergeCell ref="A16:C16"/>
  </mergeCells>
  <pageMargins left="0.51181102362204722" right="0.11811023622047245" top="0.78740157480314965" bottom="0.78740157480314965" header="0.31496062992125984" footer="0.31496062992125984"/>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K409"/>
  <sheetViews>
    <sheetView workbookViewId="0"/>
  </sheetViews>
  <sheetFormatPr defaultColWidth="9.140625" defaultRowHeight="12.75" x14ac:dyDescent="0.2"/>
  <cols>
    <col min="1" max="1" width="42.42578125" style="29" customWidth="1"/>
    <col min="2" max="2" width="14.7109375" style="38" customWidth="1"/>
    <col min="3" max="3" width="14.7109375" style="28" customWidth="1"/>
    <col min="4" max="4" width="14.7109375" style="38" customWidth="1"/>
    <col min="5" max="5" width="16" style="28" customWidth="1"/>
    <col min="6" max="7" width="14.7109375" style="28" customWidth="1"/>
    <col min="8" max="8" width="10.7109375" style="37" customWidth="1"/>
    <col min="9" max="9" width="9.140625" style="29"/>
    <col min="10" max="10" width="11.28515625" style="29" bestFit="1" customWidth="1"/>
    <col min="11" max="16384" width="9.140625" style="29"/>
  </cols>
  <sheetData>
    <row r="1" spans="1:8" ht="15" customHeight="1" x14ac:dyDescent="0.2"/>
    <row r="2" spans="1:8" ht="24.95" customHeight="1" x14ac:dyDescent="0.35">
      <c r="A2" s="27" t="s">
        <v>506</v>
      </c>
    </row>
    <row r="3" spans="1:8" ht="15" customHeight="1" x14ac:dyDescent="0.2"/>
    <row r="4" spans="1:8" ht="20.100000000000001" customHeight="1" x14ac:dyDescent="0.3">
      <c r="A4" s="39" t="s">
        <v>223</v>
      </c>
    </row>
    <row r="5" spans="1:8" ht="15" customHeight="1" x14ac:dyDescent="0.3">
      <c r="A5" s="39"/>
    </row>
    <row r="6" spans="1:8" ht="15" customHeight="1" thickBot="1" x14ac:dyDescent="0.3">
      <c r="A6" s="35" t="s">
        <v>366</v>
      </c>
      <c r="G6" s="46"/>
      <c r="H6" s="262" t="s">
        <v>0</v>
      </c>
    </row>
    <row r="7" spans="1:8" ht="20.100000000000001" customHeight="1" x14ac:dyDescent="0.2">
      <c r="A7" s="1213" t="s">
        <v>1</v>
      </c>
      <c r="B7" s="1198" t="s">
        <v>365</v>
      </c>
      <c r="C7" s="1199"/>
      <c r="D7" s="1198" t="s">
        <v>440</v>
      </c>
      <c r="E7" s="1202"/>
      <c r="F7" s="1199"/>
      <c r="G7" s="1203" t="s">
        <v>507</v>
      </c>
      <c r="H7" s="1205" t="s">
        <v>509</v>
      </c>
    </row>
    <row r="8" spans="1:8" ht="35.1" customHeight="1" thickBot="1" x14ac:dyDescent="0.25">
      <c r="A8" s="1214"/>
      <c r="B8" s="264" t="s">
        <v>109</v>
      </c>
      <c r="C8" s="942" t="s">
        <v>593</v>
      </c>
      <c r="D8" s="264" t="s">
        <v>109</v>
      </c>
      <c r="E8" s="265" t="s">
        <v>589</v>
      </c>
      <c r="F8" s="266" t="s">
        <v>591</v>
      </c>
      <c r="G8" s="1204"/>
      <c r="H8" s="1206"/>
    </row>
    <row r="9" spans="1:8" ht="15" customHeight="1" x14ac:dyDescent="0.25">
      <c r="A9" s="108" t="s">
        <v>29</v>
      </c>
      <c r="B9" s="111">
        <f>'04'!D12</f>
        <v>129640</v>
      </c>
      <c r="C9" s="163">
        <f>'04'!E12</f>
        <v>129640</v>
      </c>
      <c r="D9" s="111">
        <f>'04'!F12</f>
        <v>130940</v>
      </c>
      <c r="E9" s="161">
        <f>'04'!G12</f>
        <v>130940</v>
      </c>
      <c r="F9" s="161">
        <f>'04'!H12</f>
        <v>98205.2</v>
      </c>
      <c r="G9" s="839">
        <f>+'04'!L12</f>
        <v>135940</v>
      </c>
      <c r="H9" s="110">
        <f>+G9/D9*100</f>
        <v>103.81854284405073</v>
      </c>
    </row>
    <row r="10" spans="1:8" ht="15" customHeight="1" x14ac:dyDescent="0.25">
      <c r="A10" s="108" t="s">
        <v>95</v>
      </c>
      <c r="B10" s="111">
        <f>'05'!D23+'05'!D38</f>
        <v>407646</v>
      </c>
      <c r="C10" s="163">
        <f>'05'!E23+'05'!E38</f>
        <v>422671.09</v>
      </c>
      <c r="D10" s="111">
        <f>'05'!F23+'05'!F38</f>
        <v>458100</v>
      </c>
      <c r="E10" s="161">
        <f>'05'!G23+'05'!G38</f>
        <v>457464.52999999997</v>
      </c>
      <c r="F10" s="161">
        <f>'05'!H23+'05'!H38</f>
        <v>340080.11</v>
      </c>
      <c r="G10" s="839">
        <f>'05'!L23+'05'!L38</f>
        <v>510314</v>
      </c>
      <c r="H10" s="110">
        <f t="shared" ref="H10:H15" si="0">+G10/D10*100</f>
        <v>111.39794804627809</v>
      </c>
    </row>
    <row r="11" spans="1:8" ht="15" customHeight="1" x14ac:dyDescent="0.25">
      <c r="A11" s="108" t="s">
        <v>30</v>
      </c>
      <c r="B11" s="111">
        <f>+'06'!D19+'06'!D26+'06'!D47+'06'!D74</f>
        <v>79984</v>
      </c>
      <c r="C11" s="163">
        <f>+'06'!E19+'06'!E26+'06'!E47+'06'!E74</f>
        <v>82480.67</v>
      </c>
      <c r="D11" s="111">
        <f>+'06'!F19+'06'!F26+'06'!F47+'06'!F74</f>
        <v>75697</v>
      </c>
      <c r="E11" s="161">
        <f>+'06'!G19+'06'!G26+'06'!G47+'06'!G74</f>
        <v>89378.1</v>
      </c>
      <c r="F11" s="161">
        <f>+'06'!H19+'06'!H26+'06'!H47+'06'!H74</f>
        <v>63271.96</v>
      </c>
      <c r="G11" s="839">
        <f>+'06'!L19+'06'!L26+'06'!L47+'06'!L74</f>
        <v>85900</v>
      </c>
      <c r="H11" s="110">
        <f t="shared" si="0"/>
        <v>113.47873759858382</v>
      </c>
    </row>
    <row r="12" spans="1:8" ht="15" customHeight="1" x14ac:dyDescent="0.25">
      <c r="A12" s="108" t="s">
        <v>31</v>
      </c>
      <c r="B12" s="111">
        <f>+'07'!D13+'07'!D18</f>
        <v>24050</v>
      </c>
      <c r="C12" s="163">
        <f>+'07'!E13+'07'!E18</f>
        <v>20683.010000000002</v>
      </c>
      <c r="D12" s="111">
        <f>+'07'!F13+'07'!F18</f>
        <v>6038</v>
      </c>
      <c r="E12" s="161">
        <f>+'07'!G13+'07'!G18</f>
        <v>7496.6</v>
      </c>
      <c r="F12" s="161">
        <f>+'07'!H13+'07'!H18</f>
        <v>5622.39</v>
      </c>
      <c r="G12" s="839">
        <f>+'07'!L13+'07'!L18</f>
        <v>700</v>
      </c>
      <c r="H12" s="110">
        <f t="shared" si="0"/>
        <v>11.593242795627692</v>
      </c>
    </row>
    <row r="13" spans="1:8" ht="15" customHeight="1" x14ac:dyDescent="0.25">
      <c r="A13" s="108" t="s">
        <v>33</v>
      </c>
      <c r="B13" s="111">
        <f>+'09'!D15</f>
        <v>4955</v>
      </c>
      <c r="C13" s="163">
        <f>+'09'!E15</f>
        <v>4530</v>
      </c>
      <c r="D13" s="111">
        <f>+'09'!F15</f>
        <v>4804</v>
      </c>
      <c r="E13" s="161">
        <f>+'09'!G15</f>
        <v>4804</v>
      </c>
      <c r="F13" s="161">
        <f>+'09'!H15</f>
        <v>3602.97</v>
      </c>
      <c r="G13" s="839">
        <f>+'09'!L15</f>
        <v>4590</v>
      </c>
      <c r="H13" s="110">
        <f t="shared" si="0"/>
        <v>95.545378850957547</v>
      </c>
    </row>
    <row r="14" spans="1:8" ht="15" customHeight="1" x14ac:dyDescent="0.25">
      <c r="A14" s="108" t="s">
        <v>37</v>
      </c>
      <c r="B14" s="111">
        <f>+'17'!D11+'17'!D19+'17'!D25+'17'!D31+'17'!D36+'17'!D41+'17'!D46+'17'!D51+'17'!D56+'17'!D62+'17'!D67+'17'!D72+'17'!D77+'17'!D82</f>
        <v>104540</v>
      </c>
      <c r="C14" s="163">
        <f>+'17'!E11+'17'!E19+'17'!E25+'17'!E31+'17'!E36+'17'!E41+'17'!E46+'17'!E51+'17'!E56+'17'!E62+'17'!E67+'17'!E72+'17'!E77+'17'!E82</f>
        <v>92100.76999999999</v>
      </c>
      <c r="D14" s="111">
        <f>+'17'!F11+'17'!F19+'17'!F25+'17'!F31+'17'!F36+'17'!F41+'17'!F46+'17'!F51+'17'!F56+'17'!F62+'17'!F67+'17'!F72+'17'!F77+'17'!F82</f>
        <v>105420</v>
      </c>
      <c r="E14" s="161">
        <f>+'17'!G11+'17'!G19+'17'!G25+'17'!G31+'17'!G36+'17'!G41+'17'!G46+'17'!G51+'17'!G56+'17'!G62+'17'!G67+'17'!G72+'17'!G77+'17'!G82</f>
        <v>84645.640000000014</v>
      </c>
      <c r="F14" s="161">
        <f>+'17'!H11+'17'!H19+'17'!H25+'17'!H31+'17'!H36+'17'!H41+'17'!H46+'17'!H51+'17'!H56+'17'!H62+'17'!H67+'17'!H72+'17'!H77+'17'!H82</f>
        <v>80577.440000000002</v>
      </c>
      <c r="G14" s="839">
        <f>+'17'!L11+'17'!L19+'17'!L25+'17'!L31+'17'!L36+'17'!L41+'17'!L46+'17'!L51+'17'!L56+'17'!L62+'17'!L67+'17'!L72+'17'!L77+'17'!L82</f>
        <v>99733</v>
      </c>
      <c r="H14" s="110">
        <f t="shared" si="0"/>
        <v>94.605387971921843</v>
      </c>
    </row>
    <row r="15" spans="1:8" ht="15" customHeight="1" thickBot="1" x14ac:dyDescent="0.3">
      <c r="A15" s="108" t="s">
        <v>276</v>
      </c>
      <c r="B15" s="111">
        <f>+'26'!D15+'26'!D22</f>
        <v>42715</v>
      </c>
      <c r="C15" s="163">
        <f>+'26'!E15+'26'!E22</f>
        <v>41165</v>
      </c>
      <c r="D15" s="111">
        <f>+'26'!F15+'26'!F22</f>
        <v>43774</v>
      </c>
      <c r="E15" s="161">
        <f>+'26'!G15+'26'!G22</f>
        <v>50920.17</v>
      </c>
      <c r="F15" s="161">
        <f>+'26'!H15+'26'!H22</f>
        <v>38902.17</v>
      </c>
      <c r="G15" s="839">
        <f>+'26'!L15+'26'!L22</f>
        <v>62355</v>
      </c>
      <c r="H15" s="110">
        <f t="shared" si="0"/>
        <v>142.44757161785535</v>
      </c>
    </row>
    <row r="16" spans="1:8" ht="30.75" customHeight="1" thickBot="1" x14ac:dyDescent="0.25">
      <c r="A16" s="271" t="s">
        <v>241</v>
      </c>
      <c r="B16" s="272">
        <f t="shared" ref="B16:G16" si="1">SUM(B9:B15)</f>
        <v>793530</v>
      </c>
      <c r="C16" s="273">
        <f t="shared" si="1"/>
        <v>793270.54000000015</v>
      </c>
      <c r="D16" s="274">
        <f t="shared" si="1"/>
        <v>824773</v>
      </c>
      <c r="E16" s="275">
        <f t="shared" si="1"/>
        <v>825649.04</v>
      </c>
      <c r="F16" s="276">
        <f t="shared" si="1"/>
        <v>630262.24000000011</v>
      </c>
      <c r="G16" s="214">
        <f t="shared" si="1"/>
        <v>899532</v>
      </c>
      <c r="H16" s="277">
        <f>+G16/D16*100</f>
        <v>109.06419099558302</v>
      </c>
    </row>
    <row r="17" spans="1:8" s="28" customFormat="1" ht="15" customHeight="1" x14ac:dyDescent="0.2">
      <c r="G17" s="38"/>
    </row>
    <row r="18" spans="1:8" s="28" customFormat="1" ht="15" customHeight="1" thickBot="1" x14ac:dyDescent="0.3">
      <c r="A18" s="35" t="s">
        <v>417</v>
      </c>
      <c r="B18" s="38"/>
      <c r="D18" s="38"/>
      <c r="G18" s="38"/>
      <c r="H18" s="262" t="s">
        <v>0</v>
      </c>
    </row>
    <row r="19" spans="1:8" s="28" customFormat="1" ht="20.100000000000001" customHeight="1" x14ac:dyDescent="0.2">
      <c r="A19" s="1213" t="s">
        <v>1</v>
      </c>
      <c r="B19" s="1198" t="s">
        <v>365</v>
      </c>
      <c r="C19" s="1199"/>
      <c r="D19" s="1198" t="s">
        <v>440</v>
      </c>
      <c r="E19" s="1202"/>
      <c r="F19" s="1199"/>
      <c r="G19" s="1203" t="s">
        <v>507</v>
      </c>
      <c r="H19" s="1205" t="s">
        <v>509</v>
      </c>
    </row>
    <row r="20" spans="1:8" s="28" customFormat="1" ht="35.1" customHeight="1" thickBot="1" x14ac:dyDescent="0.25">
      <c r="A20" s="1214"/>
      <c r="B20" s="264" t="s">
        <v>109</v>
      </c>
      <c r="C20" s="942" t="s">
        <v>593</v>
      </c>
      <c r="D20" s="264" t="s">
        <v>109</v>
      </c>
      <c r="E20" s="265" t="s">
        <v>589</v>
      </c>
      <c r="F20" s="266" t="s">
        <v>591</v>
      </c>
      <c r="G20" s="1204"/>
      <c r="H20" s="1206"/>
    </row>
    <row r="21" spans="1:8" s="28" customFormat="1" ht="15" customHeight="1" x14ac:dyDescent="0.25">
      <c r="A21" s="108" t="s">
        <v>29</v>
      </c>
      <c r="B21" s="135">
        <f>+'04'!D13</f>
        <v>6350</v>
      </c>
      <c r="C21" s="163">
        <f>+'04'!E13</f>
        <v>6350</v>
      </c>
      <c r="D21" s="111">
        <f>+'04'!F13</f>
        <v>4350</v>
      </c>
      <c r="E21" s="161">
        <f>+'04'!G13</f>
        <v>4350</v>
      </c>
      <c r="F21" s="161">
        <f>+'04'!H13</f>
        <v>3262.5</v>
      </c>
      <c r="G21" s="839">
        <f>+'04'!L13</f>
        <v>4350</v>
      </c>
      <c r="H21" s="110">
        <f t="shared" ref="H21:H27" si="2">+G21/D21*100</f>
        <v>100</v>
      </c>
    </row>
    <row r="22" spans="1:8" s="28" customFormat="1" ht="15" customHeight="1" x14ac:dyDescent="0.25">
      <c r="A22" s="108" t="s">
        <v>95</v>
      </c>
      <c r="B22" s="941">
        <f>+'05'!D25</f>
        <v>377520</v>
      </c>
      <c r="C22" s="797">
        <f>+'05'!E25</f>
        <v>358019.95</v>
      </c>
      <c r="D22" s="796">
        <f>+'05'!F25</f>
        <v>354199</v>
      </c>
      <c r="E22" s="161">
        <f>+'05'!G25</f>
        <v>354199</v>
      </c>
      <c r="F22" s="161">
        <f>+'05'!H25</f>
        <v>204665.59</v>
      </c>
      <c r="G22" s="839">
        <f>+'05'!L25</f>
        <v>250000</v>
      </c>
      <c r="H22" s="110">
        <f t="shared" si="2"/>
        <v>70.58179159173234</v>
      </c>
    </row>
    <row r="23" spans="1:8" s="28" customFormat="1" ht="15" customHeight="1" x14ac:dyDescent="0.25">
      <c r="A23" s="108" t="s">
        <v>30</v>
      </c>
      <c r="B23" s="941">
        <f>+'06'!D20+'06'!D27+'06'!D48+'06'!D75</f>
        <v>39544</v>
      </c>
      <c r="C23" s="797">
        <f>+'06'!E20+'06'!E27+'06'!E48+'06'!E75</f>
        <v>39544</v>
      </c>
      <c r="D23" s="796">
        <f>+'06'!F20+'06'!F27+'06'!F48+'06'!F75</f>
        <v>40307</v>
      </c>
      <c r="E23" s="161">
        <f>+'06'!G20+'06'!G27+'06'!G48+'06'!G75</f>
        <v>40415.32</v>
      </c>
      <c r="F23" s="161">
        <f>+'06'!H20+'06'!H27+'06'!H48+'06'!H75</f>
        <v>30338.519999999997</v>
      </c>
      <c r="G23" s="839">
        <f>+'06'!L20+'06'!L27+'06'!L48+'06'!L75</f>
        <v>40238</v>
      </c>
      <c r="H23" s="110">
        <f t="shared" si="2"/>
        <v>99.828813853673054</v>
      </c>
    </row>
    <row r="24" spans="1:8" s="28" customFormat="1" ht="15" customHeight="1" x14ac:dyDescent="0.25">
      <c r="A24" s="108" t="s">
        <v>31</v>
      </c>
      <c r="B24" s="941">
        <f>+'07'!D14+'07'!D19</f>
        <v>15554</v>
      </c>
      <c r="C24" s="797">
        <f>+'07'!E14+'07'!E19</f>
        <v>15395.25</v>
      </c>
      <c r="D24" s="796">
        <f>+'07'!F14+'07'!F19</f>
        <v>16139</v>
      </c>
      <c r="E24" s="161">
        <f>+'07'!G14+'07'!G19</f>
        <v>17131.07</v>
      </c>
      <c r="F24" s="161">
        <f>+'07'!H14+'07'!H19</f>
        <v>13096.09</v>
      </c>
      <c r="G24" s="839">
        <f>+'07'!L14+'07'!L19</f>
        <v>13634</v>
      </c>
      <c r="H24" s="110">
        <f t="shared" si="2"/>
        <v>84.478592230001865</v>
      </c>
    </row>
    <row r="25" spans="1:8" s="28" customFormat="1" ht="15" customHeight="1" x14ac:dyDescent="0.25">
      <c r="A25" s="108" t="s">
        <v>33</v>
      </c>
      <c r="B25" s="941">
        <f>+'09'!D16</f>
        <v>0</v>
      </c>
      <c r="C25" s="797">
        <f>+'09'!E16</f>
        <v>350</v>
      </c>
      <c r="D25" s="796">
        <f>+'09'!F16</f>
        <v>276</v>
      </c>
      <c r="E25" s="161">
        <f>+'09'!G16</f>
        <v>276</v>
      </c>
      <c r="F25" s="161">
        <f>+'09'!H16</f>
        <v>207</v>
      </c>
      <c r="G25" s="839">
        <f>+'09'!L16</f>
        <v>192</v>
      </c>
      <c r="H25" s="791">
        <f t="shared" si="2"/>
        <v>69.565217391304344</v>
      </c>
    </row>
    <row r="26" spans="1:8" s="28" customFormat="1" ht="15" customHeight="1" x14ac:dyDescent="0.25">
      <c r="A26" s="108" t="s">
        <v>37</v>
      </c>
      <c r="B26" s="941">
        <f>+'17'!D12+'17'!D20+'17'!D26+'17'!D32+'17'!D37+'17'!D42+'17'!D47+'17'!D52+'17'!D57+'17'!D63+'17'!D68+'17'!D73+'17'!D78+'17'!D83</f>
        <v>155504</v>
      </c>
      <c r="C26" s="797">
        <f>+'17'!E12+'17'!E20+'17'!E26+'17'!E32+'17'!E37+'17'!E42+'17'!E47+'17'!E52+'17'!E57+'17'!E63+'17'!E68+'17'!E73+'17'!E78+'17'!E83</f>
        <v>33608.39</v>
      </c>
      <c r="D26" s="796">
        <f>+'17'!F12+'17'!F20+'17'!F26+'17'!F32+'17'!F37+'17'!F42+'17'!F47+'17'!F52+'17'!F57+'17'!F63+'17'!F68+'17'!F73+'17'!F78+'17'!F83</f>
        <v>90965</v>
      </c>
      <c r="E26" s="161">
        <f>+'17'!G12+'17'!G20+'17'!G26+'17'!G32+'17'!G37+'17'!G42+'17'!G47+'17'!G52+'17'!G57+'17'!G63+'17'!G68+'17'!G73+'17'!G78+'17'!G83</f>
        <v>90965</v>
      </c>
      <c r="F26" s="161">
        <f>+'17'!H12+'17'!H20+'17'!H26+'17'!H32+'17'!H37+'17'!H42+'17'!H47+'17'!H52+'17'!H57+'17'!H63+'17'!H68+'17'!H73+'17'!H78+'17'!H83</f>
        <v>11484.049999999997</v>
      </c>
      <c r="G26" s="839">
        <f>+'17'!L12+'17'!L20+'17'!L26+'17'!L32+'17'!L37+'17'!L42+'17'!L47+'17'!L52+'17'!L57+'17'!L63+'17'!L68+'17'!L73+'17'!L78+'17'!L83</f>
        <v>40000</v>
      </c>
      <c r="H26" s="110">
        <f t="shared" si="2"/>
        <v>43.972956631671522</v>
      </c>
    </row>
    <row r="27" spans="1:8" s="28" customFormat="1" ht="15" customHeight="1" thickBot="1" x14ac:dyDescent="0.3">
      <c r="A27" s="108" t="s">
        <v>276</v>
      </c>
      <c r="B27" s="941">
        <f>+'26'!D16</f>
        <v>0</v>
      </c>
      <c r="C27" s="797">
        <f>+'26'!E16</f>
        <v>1550</v>
      </c>
      <c r="D27" s="111">
        <f>+'26'!F16</f>
        <v>1550</v>
      </c>
      <c r="E27" s="161">
        <f>+'26'!G16</f>
        <v>1550</v>
      </c>
      <c r="F27" s="161">
        <f>+'26'!H16</f>
        <v>1162.8</v>
      </c>
      <c r="G27" s="839">
        <f>+'26'!L16</f>
        <v>1550</v>
      </c>
      <c r="H27" s="110">
        <f t="shared" si="2"/>
        <v>100</v>
      </c>
    </row>
    <row r="28" spans="1:8" s="28" customFormat="1" ht="31.5" customHeight="1" thickBot="1" x14ac:dyDescent="0.25">
      <c r="A28" s="271" t="s">
        <v>418</v>
      </c>
      <c r="B28" s="798">
        <f t="shared" ref="B28:G28" si="3">SUM(B21:B27)</f>
        <v>594472</v>
      </c>
      <c r="C28" s="799">
        <f t="shared" si="3"/>
        <v>454817.59</v>
      </c>
      <c r="D28" s="800">
        <f t="shared" si="3"/>
        <v>507786</v>
      </c>
      <c r="E28" s="801">
        <f t="shared" si="3"/>
        <v>508886.39</v>
      </c>
      <c r="F28" s="802">
        <f t="shared" si="3"/>
        <v>264216.55</v>
      </c>
      <c r="G28" s="214">
        <f t="shared" si="3"/>
        <v>349964</v>
      </c>
      <c r="H28" s="277">
        <f>+G28/D28*100</f>
        <v>68.919584234303414</v>
      </c>
    </row>
    <row r="29" spans="1:8" s="28" customFormat="1" ht="15" customHeight="1" x14ac:dyDescent="0.2">
      <c r="G29" s="38"/>
    </row>
    <row r="30" spans="1:8" ht="15" customHeight="1" thickBot="1" x14ac:dyDescent="0.3">
      <c r="A30" s="35" t="s">
        <v>374</v>
      </c>
      <c r="G30" s="38"/>
      <c r="H30" s="32" t="s">
        <v>0</v>
      </c>
    </row>
    <row r="31" spans="1:8" ht="20.100000000000001" customHeight="1" x14ac:dyDescent="0.2">
      <c r="A31" s="1213" t="s">
        <v>1</v>
      </c>
      <c r="B31" s="1198" t="s">
        <v>365</v>
      </c>
      <c r="C31" s="1199"/>
      <c r="D31" s="1198" t="s">
        <v>440</v>
      </c>
      <c r="E31" s="1202"/>
      <c r="F31" s="1199"/>
      <c r="G31" s="1203" t="s">
        <v>507</v>
      </c>
      <c r="H31" s="1205" t="s">
        <v>509</v>
      </c>
    </row>
    <row r="32" spans="1:8" ht="35.1" customHeight="1" thickBot="1" x14ac:dyDescent="0.25">
      <c r="A32" s="1214"/>
      <c r="B32" s="264" t="s">
        <v>109</v>
      </c>
      <c r="C32" s="942" t="s">
        <v>593</v>
      </c>
      <c r="D32" s="264" t="s">
        <v>109</v>
      </c>
      <c r="E32" s="265" t="s">
        <v>589</v>
      </c>
      <c r="F32" s="266" t="s">
        <v>591</v>
      </c>
      <c r="G32" s="1204"/>
      <c r="H32" s="1206"/>
    </row>
    <row r="33" spans="1:11" ht="15" customHeight="1" x14ac:dyDescent="0.25">
      <c r="A33" s="108" t="s">
        <v>29</v>
      </c>
      <c r="B33" s="111">
        <f>+'04'!D14</f>
        <v>137363</v>
      </c>
      <c r="C33" s="163">
        <f>+'04'!E14</f>
        <v>147363</v>
      </c>
      <c r="D33" s="111">
        <f>+'04'!F14</f>
        <v>154837</v>
      </c>
      <c r="E33" s="161">
        <f>+'04'!G14</f>
        <v>154837</v>
      </c>
      <c r="F33" s="161">
        <f>+'04'!H14</f>
        <v>115200</v>
      </c>
      <c r="G33" s="839">
        <f>+'04'!L14</f>
        <v>158337</v>
      </c>
      <c r="H33" s="110">
        <f>+G33/D33*100</f>
        <v>102.26044162570962</v>
      </c>
    </row>
    <row r="34" spans="1:11" ht="15" customHeight="1" x14ac:dyDescent="0.25">
      <c r="A34" s="108" t="s">
        <v>95</v>
      </c>
      <c r="B34" s="111">
        <f>+'05'!D24+'05'!D76</f>
        <v>28451</v>
      </c>
      <c r="C34" s="163">
        <f>+'05'!E24+'05'!E76</f>
        <v>24494.010000000002</v>
      </c>
      <c r="D34" s="111">
        <f>+'05'!F24+'05'!F76</f>
        <v>28451</v>
      </c>
      <c r="E34" s="161">
        <f>+'05'!G24+'05'!G76</f>
        <v>35112.75</v>
      </c>
      <c r="F34" s="161">
        <f>+'05'!H24+'05'!H76</f>
        <v>34794.720000000001</v>
      </c>
      <c r="G34" s="839">
        <f>+'05'!L24+'05'!L76</f>
        <v>28451</v>
      </c>
      <c r="H34" s="110">
        <f t="shared" ref="H34:H39" si="4">+G34/D34*100</f>
        <v>100</v>
      </c>
    </row>
    <row r="35" spans="1:11" ht="15" customHeight="1" x14ac:dyDescent="0.25">
      <c r="A35" s="108" t="s">
        <v>30</v>
      </c>
      <c r="B35" s="111">
        <f>+'06'!D21+'06'!D28+'06'!D49+'06'!D76</f>
        <v>343579</v>
      </c>
      <c r="C35" s="163">
        <f>+'06'!E21+'06'!E28+'06'!E49+'06'!E76</f>
        <v>344283</v>
      </c>
      <c r="D35" s="111">
        <f>+'06'!F21+'06'!F28+'06'!F49+'06'!F76</f>
        <v>348561</v>
      </c>
      <c r="E35" s="161">
        <f>+'06'!G21+'06'!G28+'06'!G49+'06'!G76</f>
        <v>353854.35</v>
      </c>
      <c r="F35" s="161">
        <f>+'06'!H21+'06'!H28+'06'!H49+'06'!H76</f>
        <v>264692.81</v>
      </c>
      <c r="G35" s="839">
        <f>+'06'!L21+'06'!L28+'06'!L49+'06'!L76</f>
        <v>382010</v>
      </c>
      <c r="H35" s="110">
        <f t="shared" si="4"/>
        <v>109.59631169293181</v>
      </c>
    </row>
    <row r="36" spans="1:11" ht="15" customHeight="1" x14ac:dyDescent="0.25">
      <c r="A36" s="108" t="s">
        <v>31</v>
      </c>
      <c r="B36" s="111">
        <f>+'07'!D15+'07'!D20</f>
        <v>804351</v>
      </c>
      <c r="C36" s="163">
        <f>+'07'!E15+'07'!E20</f>
        <v>606699.47</v>
      </c>
      <c r="D36" s="111">
        <f>+'07'!F15+'07'!F20</f>
        <v>706785</v>
      </c>
      <c r="E36" s="161">
        <f>+'07'!G15+'07'!G20</f>
        <v>745914.06</v>
      </c>
      <c r="F36" s="161">
        <f>+'07'!H15+'07'!H20</f>
        <v>569532.30999999994</v>
      </c>
      <c r="G36" s="839">
        <f>+'07'!L15+'07'!L20</f>
        <v>678395</v>
      </c>
      <c r="H36" s="110">
        <f t="shared" si="4"/>
        <v>95.983219791025562</v>
      </c>
    </row>
    <row r="37" spans="1:11" ht="15" customHeight="1" x14ac:dyDescent="0.25">
      <c r="A37" s="108" t="s">
        <v>33</v>
      </c>
      <c r="B37" s="111">
        <f>+'09'!D17</f>
        <v>22438</v>
      </c>
      <c r="C37" s="163">
        <f>+'09'!E17</f>
        <v>22513</v>
      </c>
      <c r="D37" s="111">
        <f>+'09'!F17</f>
        <v>23092</v>
      </c>
      <c r="E37" s="161">
        <f>+'09'!G17</f>
        <v>23092</v>
      </c>
      <c r="F37" s="161">
        <f>+'09'!H17</f>
        <v>17318.97</v>
      </c>
      <c r="G37" s="839">
        <f>+'09'!L17</f>
        <v>23310</v>
      </c>
      <c r="H37" s="110">
        <f t="shared" si="4"/>
        <v>100.94404988740689</v>
      </c>
    </row>
    <row r="38" spans="1:11" ht="15" customHeight="1" x14ac:dyDescent="0.25">
      <c r="A38" s="108" t="s">
        <v>37</v>
      </c>
      <c r="B38" s="111">
        <f>+'17'!D13+'17'!D21+'17'!D27+'17'!D33+'17'!D38+'17'!D43+'17'!D48+'17'!D53+'17'!D58+'17'!D64+'17'!D69+'17'!D74+'17'!D79+'17'!D84</f>
        <v>232158</v>
      </c>
      <c r="C38" s="163">
        <f>+'17'!E13+'17'!E21+'17'!E27+'17'!E33+'17'!E38+'17'!E43+'17'!E48+'17'!E53+'17'!E58+'17'!E64+'17'!E69+'17'!E74+'17'!E79+'17'!E84</f>
        <v>238484.44999999998</v>
      </c>
      <c r="D38" s="111">
        <f>+'17'!F13+'17'!F21+'17'!F27+'17'!F33+'17'!F38+'17'!F43+'17'!F48+'17'!F53+'17'!F58+'17'!F64+'17'!F69+'17'!F74+'17'!F79+'17'!F84</f>
        <v>269320</v>
      </c>
      <c r="E38" s="161">
        <f>+'17'!G13+'17'!G21+'17'!G27+'17'!G33+'17'!G38+'17'!G43+'17'!G48+'17'!G53+'17'!G58+'17'!G64+'17'!G69+'17'!G74+'17'!G79+'17'!G84</f>
        <v>272271.58999999997</v>
      </c>
      <c r="F38" s="161">
        <f>+'17'!H13+'17'!H21+'17'!H27+'17'!H33+'17'!H38+'17'!H43+'17'!H48+'17'!H53+'17'!H58+'17'!H64+'17'!H69+'17'!H74+'17'!H79+'17'!H84</f>
        <v>235311.58000000002</v>
      </c>
      <c r="G38" s="839">
        <f>+'17'!L13+'17'!L21+'17'!L27+'17'!L33+'17'!L38+'17'!L43+'17'!L48+'17'!L53+'17'!L58+'17'!L64+'17'!L69+'17'!L74+'17'!L79+'17'!L84</f>
        <v>296701</v>
      </c>
      <c r="H38" s="110">
        <f t="shared" si="4"/>
        <v>110.16671617406801</v>
      </c>
    </row>
    <row r="39" spans="1:11" ht="15" customHeight="1" thickBot="1" x14ac:dyDescent="0.3">
      <c r="A39" s="108" t="s">
        <v>276</v>
      </c>
      <c r="B39" s="111">
        <f>+'26'!D17</f>
        <v>61821</v>
      </c>
      <c r="C39" s="163">
        <f>+'26'!E17</f>
        <v>61821</v>
      </c>
      <c r="D39" s="111">
        <f>+'26'!F17</f>
        <v>70000</v>
      </c>
      <c r="E39" s="161">
        <f>+'26'!G17</f>
        <v>108715.76</v>
      </c>
      <c r="F39" s="161">
        <f>+'26'!H17</f>
        <v>76952.160000000003</v>
      </c>
      <c r="G39" s="839">
        <f>+'26'!L17</f>
        <v>125352</v>
      </c>
      <c r="H39" s="110">
        <f t="shared" si="4"/>
        <v>179.07428571428571</v>
      </c>
    </row>
    <row r="40" spans="1:11" s="35" customFormat="1" ht="30.75" customHeight="1" thickBot="1" x14ac:dyDescent="0.3">
      <c r="A40" s="271" t="s">
        <v>419</v>
      </c>
      <c r="B40" s="272">
        <f t="shared" ref="B40:G40" si="5">SUM(B33:B39)</f>
        <v>1630161</v>
      </c>
      <c r="C40" s="273">
        <f t="shared" si="5"/>
        <v>1445657.93</v>
      </c>
      <c r="D40" s="274">
        <f t="shared" si="5"/>
        <v>1601046</v>
      </c>
      <c r="E40" s="275">
        <f t="shared" si="5"/>
        <v>1693797.51</v>
      </c>
      <c r="F40" s="276">
        <f t="shared" si="5"/>
        <v>1313802.5499999998</v>
      </c>
      <c r="G40" s="214">
        <f t="shared" si="5"/>
        <v>1692556</v>
      </c>
      <c r="H40" s="277">
        <f>+G40/D40*100</f>
        <v>105.71563840139508</v>
      </c>
    </row>
    <row r="41" spans="1:11" s="28" customFormat="1" x14ac:dyDescent="0.2">
      <c r="G41" s="38"/>
    </row>
    <row r="42" spans="1:11" ht="16.5" thickBot="1" x14ac:dyDescent="0.3">
      <c r="A42" s="35" t="s">
        <v>367</v>
      </c>
      <c r="G42" s="38"/>
      <c r="H42" s="262" t="s">
        <v>0</v>
      </c>
    </row>
    <row r="43" spans="1:11" ht="20.100000000000001" customHeight="1" x14ac:dyDescent="0.2">
      <c r="A43" s="1213" t="s">
        <v>1</v>
      </c>
      <c r="B43" s="1198" t="s">
        <v>365</v>
      </c>
      <c r="C43" s="1199"/>
      <c r="D43" s="1198" t="s">
        <v>440</v>
      </c>
      <c r="E43" s="1202"/>
      <c r="F43" s="1199"/>
      <c r="G43" s="1203" t="s">
        <v>507</v>
      </c>
      <c r="H43" s="1205" t="s">
        <v>509</v>
      </c>
    </row>
    <row r="44" spans="1:11" ht="35.1" customHeight="1" thickBot="1" x14ac:dyDescent="0.25">
      <c r="A44" s="1214"/>
      <c r="B44" s="264" t="s">
        <v>109</v>
      </c>
      <c r="C44" s="942" t="s">
        <v>593</v>
      </c>
      <c r="D44" s="264" t="s">
        <v>109</v>
      </c>
      <c r="E44" s="265" t="s">
        <v>589</v>
      </c>
      <c r="F44" s="266" t="s">
        <v>591</v>
      </c>
      <c r="G44" s="1204"/>
      <c r="H44" s="1206"/>
    </row>
    <row r="45" spans="1:11" ht="15" customHeight="1" x14ac:dyDescent="0.25">
      <c r="A45" s="108" t="s">
        <v>29</v>
      </c>
      <c r="B45" s="111">
        <f>+'04'!D11</f>
        <v>1446574</v>
      </c>
      <c r="C45" s="111">
        <f>+'04'!E11</f>
        <v>1511427.15</v>
      </c>
      <c r="D45" s="111">
        <f>+'04'!F11</f>
        <v>1528630</v>
      </c>
      <c r="E45" s="161">
        <f>+'04'!G11</f>
        <v>1981590.89</v>
      </c>
      <c r="F45" s="161">
        <f>+'04'!H11</f>
        <v>1596462.41</v>
      </c>
      <c r="G45" s="839">
        <f>+'04'!L11+'04'!L16+'04'!L17</f>
        <v>1585630</v>
      </c>
      <c r="H45" s="110">
        <f>+G45/D45*100</f>
        <v>103.72882908225012</v>
      </c>
      <c r="J45" s="31"/>
      <c r="K45" s="31"/>
    </row>
    <row r="46" spans="1:11" ht="15" customHeight="1" x14ac:dyDescent="0.25">
      <c r="A46" s="108" t="s">
        <v>95</v>
      </c>
      <c r="B46" s="111">
        <f>+'05'!D22+'05'!D48</f>
        <v>101000</v>
      </c>
      <c r="C46" s="163">
        <f>+'05'!E22+'05'!E48</f>
        <v>91644.6</v>
      </c>
      <c r="D46" s="111">
        <f>+'05'!F22+'05'!F48</f>
        <v>102000</v>
      </c>
      <c r="E46" s="161">
        <f>+'05'!G22+'05'!G48</f>
        <v>112076.97</v>
      </c>
      <c r="F46" s="161">
        <f>+'05'!H22+'05'!H48</f>
        <v>52634.87</v>
      </c>
      <c r="G46" s="839">
        <f>+'05'!L22+'05'!L48</f>
        <v>102000</v>
      </c>
      <c r="H46" s="110">
        <f t="shared" ref="H46:H51" si="6">+G46/D46*100</f>
        <v>100</v>
      </c>
      <c r="J46" s="31"/>
      <c r="K46" s="31"/>
    </row>
    <row r="47" spans="1:11" ht="15" customHeight="1" x14ac:dyDescent="0.25">
      <c r="A47" s="108" t="s">
        <v>30</v>
      </c>
      <c r="B47" s="111">
        <f>+'06'!D73+'06'!D46+'06'!D25+'06'!D50+'06'!D73+'06'!D18</f>
        <v>13776</v>
      </c>
      <c r="C47" s="163">
        <f>+'06'!E73+'06'!E46+'06'!E25+'06'!E50+'06'!E73+'06'!E18</f>
        <v>13270.380000000001</v>
      </c>
      <c r="D47" s="111">
        <f>+'06'!F73+'06'!F46+'06'!F25+'06'!F50+'06'!F18</f>
        <v>13732</v>
      </c>
      <c r="E47" s="161">
        <f>+'06'!G73+'06'!G46+'06'!G25+'06'!G50+'06'!G18</f>
        <v>14897.869999999999</v>
      </c>
      <c r="F47" s="161">
        <f>+'06'!H73+'06'!H46+'06'!H25+'06'!H50+'06'!H18</f>
        <v>11814.13</v>
      </c>
      <c r="G47" s="839">
        <f>+'06'!L18+'06'!L25+'06'!L46+'06'!L73+'06'!L53</f>
        <v>15134</v>
      </c>
      <c r="H47" s="110">
        <f t="shared" si="6"/>
        <v>110.20972909991262</v>
      </c>
      <c r="J47" s="31"/>
      <c r="K47" s="31"/>
    </row>
    <row r="48" spans="1:11" ht="15" customHeight="1" x14ac:dyDescent="0.25">
      <c r="A48" s="108" t="s">
        <v>31</v>
      </c>
      <c r="B48" s="111">
        <f>+'07'!D12+'07'!D17</f>
        <v>4370</v>
      </c>
      <c r="C48" s="163">
        <f>+'07'!E12+'07'!E17</f>
        <v>4329.25</v>
      </c>
      <c r="D48" s="111">
        <f>+'07'!F12+'07'!F17</f>
        <v>2931</v>
      </c>
      <c r="E48" s="161">
        <f>+'07'!G12+'07'!G17</f>
        <v>2731</v>
      </c>
      <c r="F48" s="161">
        <f>+'07'!H12+'07'!H17</f>
        <v>2048.04</v>
      </c>
      <c r="G48" s="839">
        <f>+'07'!L12+'07'!L17</f>
        <v>900</v>
      </c>
      <c r="H48" s="110">
        <f t="shared" si="6"/>
        <v>30.706243602865918</v>
      </c>
      <c r="J48" s="31"/>
      <c r="K48" s="31"/>
    </row>
    <row r="49" spans="1:11" ht="15" customHeight="1" x14ac:dyDescent="0.25">
      <c r="A49" s="108" t="s">
        <v>33</v>
      </c>
      <c r="B49" s="111">
        <f>+'09'!D14</f>
        <v>127</v>
      </c>
      <c r="C49" s="163">
        <f>+'09'!E14</f>
        <v>127</v>
      </c>
      <c r="D49" s="111">
        <f>+'09'!F14</f>
        <v>48</v>
      </c>
      <c r="E49" s="161">
        <f>+'09'!G14</f>
        <v>48</v>
      </c>
      <c r="F49" s="161">
        <f>+'09'!H14</f>
        <v>36</v>
      </c>
      <c r="G49" s="839">
        <f>+'09'!L14</f>
        <v>48</v>
      </c>
      <c r="H49" s="110">
        <f t="shared" si="6"/>
        <v>100</v>
      </c>
      <c r="J49" s="31"/>
      <c r="K49" s="31"/>
    </row>
    <row r="50" spans="1:11" ht="15" customHeight="1" x14ac:dyDescent="0.25">
      <c r="A50" s="108" t="s">
        <v>37</v>
      </c>
      <c r="B50" s="111">
        <f>+'17'!D10+'17'!D18+'17'!D24+'17'!D30+'17'!D35+'17'!D40+'17'!D45+'17'!D50+'17'!D55+'17'!D61+'17'!D66+'17'!D71+'17'!D76+'17'!D81+'17'!D117</f>
        <v>39520</v>
      </c>
      <c r="C50" s="163">
        <f>+'17'!E10+'17'!E18+'17'!E24+'17'!E30+'17'!E35+'17'!E40+'17'!E45+'17'!E50+'17'!E55+'17'!E61+'17'!E66+'17'!E71+'17'!E76+'17'!E81+'17'!E117</f>
        <v>30727.15</v>
      </c>
      <c r="D50" s="111">
        <f>+'17'!F10+'17'!F18+'17'!F24+'17'!F30+'17'!F35+'17'!F40+'17'!F45+'17'!F50+'17'!F55+'17'!F61+'17'!F66+'17'!F71+'17'!F76+'17'!F81+'17'!F117</f>
        <v>51260</v>
      </c>
      <c r="E50" s="161">
        <f>+'17'!G10+'17'!G18+'17'!G24+'17'!G30+'17'!G35+'17'!G40+'17'!G45+'17'!G50+'17'!G55+'17'!G61+'17'!G66+'17'!G71+'17'!G76+'17'!G81+'17'!G117</f>
        <v>50887.83</v>
      </c>
      <c r="F50" s="161">
        <f>+'17'!H10+'17'!H18+'17'!H24+'17'!H30+'17'!H35+'17'!H40+'17'!H45+'17'!H50+'17'!H55+'17'!H61+'17'!H66+'17'!H71+'17'!H76+'17'!H81+'17'!H117</f>
        <v>46651.33</v>
      </c>
      <c r="G50" s="839">
        <f>+'17'!L10+'17'!L18+'17'!L24+'17'!L30+'17'!L35+'17'!L40+'17'!L45+'17'!L50+'17'!L55+'17'!L61+'17'!L66+'17'!L71+'17'!L76+'17'!L81+'17'!L117</f>
        <v>80531</v>
      </c>
      <c r="H50" s="110">
        <f t="shared" si="6"/>
        <v>157.10300429184548</v>
      </c>
      <c r="J50" s="31"/>
      <c r="K50" s="31"/>
    </row>
    <row r="51" spans="1:11" ht="15" customHeight="1" thickBot="1" x14ac:dyDescent="0.3">
      <c r="A51" s="412" t="s">
        <v>276</v>
      </c>
      <c r="B51" s="111">
        <f>+'26'!D14</f>
        <v>425</v>
      </c>
      <c r="C51" s="163">
        <f>+'26'!E14</f>
        <v>425</v>
      </c>
      <c r="D51" s="111">
        <f>+'26'!F14</f>
        <v>430</v>
      </c>
      <c r="E51" s="161">
        <f>+'26'!G14</f>
        <v>430</v>
      </c>
      <c r="F51" s="161">
        <f>+'26'!H14</f>
        <v>430</v>
      </c>
      <c r="G51" s="839">
        <f>+'26'!L14</f>
        <v>430</v>
      </c>
      <c r="H51" s="110">
        <f t="shared" si="6"/>
        <v>100</v>
      </c>
      <c r="J51" s="31"/>
      <c r="K51" s="31"/>
    </row>
    <row r="52" spans="1:11" ht="48" thickBot="1" x14ac:dyDescent="0.25">
      <c r="A52" s="271" t="s">
        <v>224</v>
      </c>
      <c r="B52" s="272">
        <f t="shared" ref="B52:G52" si="7">SUM(B45:B51)</f>
        <v>1605792</v>
      </c>
      <c r="C52" s="273">
        <f t="shared" si="7"/>
        <v>1651950.5299999998</v>
      </c>
      <c r="D52" s="274">
        <f t="shared" si="7"/>
        <v>1699031</v>
      </c>
      <c r="E52" s="275">
        <f t="shared" si="7"/>
        <v>2162662.56</v>
      </c>
      <c r="F52" s="276">
        <f t="shared" si="7"/>
        <v>1710076.78</v>
      </c>
      <c r="G52" s="214">
        <f t="shared" si="7"/>
        <v>1784673</v>
      </c>
      <c r="H52" s="277">
        <f>+G52/D52*100</f>
        <v>105.04063786946796</v>
      </c>
      <c r="J52" s="31"/>
      <c r="K52" s="31"/>
    </row>
    <row r="53" spans="1:11" s="28" customFormat="1" ht="21" customHeight="1" x14ac:dyDescent="0.2">
      <c r="G53" s="38"/>
    </row>
    <row r="54" spans="1:11" ht="16.5" thickBot="1" x14ac:dyDescent="0.3">
      <c r="A54" s="35" t="s">
        <v>438</v>
      </c>
      <c r="G54" s="38"/>
      <c r="H54" s="262" t="s">
        <v>0</v>
      </c>
    </row>
    <row r="55" spans="1:11" ht="20.100000000000001" customHeight="1" x14ac:dyDescent="0.2">
      <c r="A55" s="1213" t="s">
        <v>1</v>
      </c>
      <c r="B55" s="1198" t="s">
        <v>365</v>
      </c>
      <c r="C55" s="1199"/>
      <c r="D55" s="1198" t="s">
        <v>440</v>
      </c>
      <c r="E55" s="1202"/>
      <c r="F55" s="1199"/>
      <c r="G55" s="1203" t="s">
        <v>507</v>
      </c>
      <c r="H55" s="1205" t="s">
        <v>509</v>
      </c>
    </row>
    <row r="56" spans="1:11" ht="35.1" customHeight="1" thickBot="1" x14ac:dyDescent="0.25">
      <c r="A56" s="1214"/>
      <c r="B56" s="264" t="s">
        <v>109</v>
      </c>
      <c r="C56" s="942" t="s">
        <v>593</v>
      </c>
      <c r="D56" s="264" t="s">
        <v>109</v>
      </c>
      <c r="E56" s="265" t="s">
        <v>589</v>
      </c>
      <c r="F56" s="266" t="s">
        <v>591</v>
      </c>
      <c r="G56" s="1204"/>
      <c r="H56" s="1206"/>
    </row>
    <row r="57" spans="1:11" ht="15" x14ac:dyDescent="0.25">
      <c r="A57" s="108" t="s">
        <v>29</v>
      </c>
      <c r="B57" s="111">
        <f>B9+B21+B33+B45</f>
        <v>1719927</v>
      </c>
      <c r="C57" s="162">
        <f t="shared" ref="C57:F63" si="8">C9+C21+C33+C45</f>
        <v>1794780.15</v>
      </c>
      <c r="D57" s="111">
        <f t="shared" si="8"/>
        <v>1818757</v>
      </c>
      <c r="E57" s="161">
        <f t="shared" si="8"/>
        <v>2271717.8899999997</v>
      </c>
      <c r="F57" s="161">
        <f t="shared" si="8"/>
        <v>1813130.1099999999</v>
      </c>
      <c r="G57" s="922">
        <f t="shared" ref="G57:G63" si="9">+G9+G21+G33+G45</f>
        <v>1884257</v>
      </c>
      <c r="H57" s="110">
        <f>+G57/D57*100</f>
        <v>103.60136070953953</v>
      </c>
    </row>
    <row r="58" spans="1:11" ht="15" x14ac:dyDescent="0.25">
      <c r="A58" s="108" t="s">
        <v>95</v>
      </c>
      <c r="B58" s="111">
        <f t="shared" ref="B58:B63" si="10">B10+B22+B34+B46</f>
        <v>914617</v>
      </c>
      <c r="C58" s="163">
        <f t="shared" si="8"/>
        <v>896829.65</v>
      </c>
      <c r="D58" s="111">
        <f t="shared" si="8"/>
        <v>942750</v>
      </c>
      <c r="E58" s="161">
        <f t="shared" si="8"/>
        <v>958853.25</v>
      </c>
      <c r="F58" s="161">
        <f t="shared" si="8"/>
        <v>632175.28999999992</v>
      </c>
      <c r="G58" s="922">
        <f t="shared" si="9"/>
        <v>890765</v>
      </c>
      <c r="H58" s="110">
        <f t="shared" ref="H58:H63" si="11">+G58/D58*100</f>
        <v>94.485812781755513</v>
      </c>
    </row>
    <row r="59" spans="1:11" ht="15" x14ac:dyDescent="0.25">
      <c r="A59" s="108" t="s">
        <v>30</v>
      </c>
      <c r="B59" s="111">
        <f t="shared" si="10"/>
        <v>476883</v>
      </c>
      <c r="C59" s="163">
        <f t="shared" si="8"/>
        <v>479578.05</v>
      </c>
      <c r="D59" s="111">
        <f t="shared" si="8"/>
        <v>478297</v>
      </c>
      <c r="E59" s="161">
        <f t="shared" si="8"/>
        <v>498545.64</v>
      </c>
      <c r="F59" s="161">
        <f t="shared" si="8"/>
        <v>370117.42</v>
      </c>
      <c r="G59" s="922">
        <f t="shared" si="9"/>
        <v>523282</v>
      </c>
      <c r="H59" s="110">
        <f t="shared" si="11"/>
        <v>109.40524402201979</v>
      </c>
    </row>
    <row r="60" spans="1:11" ht="15" x14ac:dyDescent="0.25">
      <c r="A60" s="108" t="s">
        <v>31</v>
      </c>
      <c r="B60" s="111">
        <f t="shared" si="10"/>
        <v>848325</v>
      </c>
      <c r="C60" s="163">
        <f t="shared" si="8"/>
        <v>647106.98</v>
      </c>
      <c r="D60" s="111">
        <f t="shared" si="8"/>
        <v>731893</v>
      </c>
      <c r="E60" s="161">
        <f t="shared" si="8"/>
        <v>773272.7300000001</v>
      </c>
      <c r="F60" s="161">
        <f t="shared" si="8"/>
        <v>590298.82999999996</v>
      </c>
      <c r="G60" s="922">
        <f t="shared" si="9"/>
        <v>693629</v>
      </c>
      <c r="H60" s="110">
        <f t="shared" si="11"/>
        <v>94.771913380781072</v>
      </c>
    </row>
    <row r="61" spans="1:11" ht="15" x14ac:dyDescent="0.25">
      <c r="A61" s="108" t="s">
        <v>33</v>
      </c>
      <c r="B61" s="111">
        <f t="shared" si="10"/>
        <v>27520</v>
      </c>
      <c r="C61" s="163">
        <f t="shared" si="8"/>
        <v>27520</v>
      </c>
      <c r="D61" s="111">
        <f t="shared" si="8"/>
        <v>28220</v>
      </c>
      <c r="E61" s="161">
        <f t="shared" si="8"/>
        <v>28220</v>
      </c>
      <c r="F61" s="161">
        <f t="shared" si="8"/>
        <v>21164.940000000002</v>
      </c>
      <c r="G61" s="922">
        <f t="shared" si="9"/>
        <v>28140</v>
      </c>
      <c r="H61" s="110">
        <f t="shared" si="11"/>
        <v>99.716513111268597</v>
      </c>
    </row>
    <row r="62" spans="1:11" ht="15" x14ac:dyDescent="0.25">
      <c r="A62" s="108" t="s">
        <v>37</v>
      </c>
      <c r="B62" s="111">
        <f t="shared" si="10"/>
        <v>531722</v>
      </c>
      <c r="C62" s="105">
        <f t="shared" si="8"/>
        <v>394920.76</v>
      </c>
      <c r="D62" s="111">
        <f t="shared" si="8"/>
        <v>516965</v>
      </c>
      <c r="E62" s="161">
        <f t="shared" si="8"/>
        <v>498770.06</v>
      </c>
      <c r="F62" s="161">
        <f t="shared" si="8"/>
        <v>374024.4</v>
      </c>
      <c r="G62" s="922">
        <f t="shared" si="9"/>
        <v>516965</v>
      </c>
      <c r="H62" s="110">
        <f t="shared" si="11"/>
        <v>100</v>
      </c>
    </row>
    <row r="63" spans="1:11" ht="15.75" thickBot="1" x14ac:dyDescent="0.3">
      <c r="A63" s="412" t="s">
        <v>276</v>
      </c>
      <c r="B63" s="111">
        <f t="shared" si="10"/>
        <v>104961</v>
      </c>
      <c r="C63" s="105">
        <f t="shared" si="8"/>
        <v>104961</v>
      </c>
      <c r="D63" s="111">
        <f t="shared" si="8"/>
        <v>115754</v>
      </c>
      <c r="E63" s="161">
        <f t="shared" si="8"/>
        <v>161615.93</v>
      </c>
      <c r="F63" s="161">
        <f t="shared" si="8"/>
        <v>117447.13</v>
      </c>
      <c r="G63" s="922">
        <f t="shared" si="9"/>
        <v>189687</v>
      </c>
      <c r="H63" s="791">
        <f t="shared" si="11"/>
        <v>163.87079496172919</v>
      </c>
    </row>
    <row r="64" spans="1:11" ht="32.25" thickBot="1" x14ac:dyDescent="0.25">
      <c r="A64" s="271" t="s">
        <v>361</v>
      </c>
      <c r="B64" s="272">
        <f t="shared" ref="B64:G64" si="12">SUM(B57:B63)</f>
        <v>4623955</v>
      </c>
      <c r="C64" s="273">
        <f t="shared" si="12"/>
        <v>4345696.59</v>
      </c>
      <c r="D64" s="274">
        <f t="shared" si="12"/>
        <v>4632636</v>
      </c>
      <c r="E64" s="275">
        <f t="shared" si="12"/>
        <v>5190995.4999999991</v>
      </c>
      <c r="F64" s="276">
        <f t="shared" si="12"/>
        <v>3918358.1199999996</v>
      </c>
      <c r="G64" s="214">
        <f t="shared" si="12"/>
        <v>4726725</v>
      </c>
      <c r="H64" s="277">
        <f>+G64/D64*100</f>
        <v>102.0310035150614</v>
      </c>
    </row>
    <row r="65" spans="3:7" x14ac:dyDescent="0.2">
      <c r="G65" s="38"/>
    </row>
    <row r="66" spans="3:7" x14ac:dyDescent="0.2">
      <c r="C66" s="38"/>
      <c r="E66" s="38"/>
      <c r="F66" s="38"/>
      <c r="G66" s="38"/>
    </row>
    <row r="67" spans="3:7" x14ac:dyDescent="0.2">
      <c r="E67" s="262"/>
      <c r="G67" s="38"/>
    </row>
    <row r="68" spans="3:7" x14ac:dyDescent="0.2">
      <c r="G68" s="38"/>
    </row>
    <row r="69" spans="3:7" x14ac:dyDescent="0.2">
      <c r="G69" s="38"/>
    </row>
    <row r="70" spans="3:7" x14ac:dyDescent="0.2">
      <c r="G70" s="38"/>
    </row>
    <row r="71" spans="3:7" x14ac:dyDescent="0.2">
      <c r="G71" s="38"/>
    </row>
    <row r="72" spans="3:7" x14ac:dyDescent="0.2">
      <c r="G72" s="38"/>
    </row>
    <row r="73" spans="3:7" x14ac:dyDescent="0.2">
      <c r="G73" s="38"/>
    </row>
    <row r="74" spans="3:7" x14ac:dyDescent="0.2">
      <c r="G74" s="38"/>
    </row>
    <row r="75" spans="3:7" x14ac:dyDescent="0.2">
      <c r="G75" s="38"/>
    </row>
    <row r="76" spans="3:7" x14ac:dyDescent="0.2">
      <c r="G76" s="38"/>
    </row>
    <row r="77" spans="3:7" x14ac:dyDescent="0.2">
      <c r="G77" s="38"/>
    </row>
    <row r="78" spans="3:7" x14ac:dyDescent="0.2">
      <c r="G78" s="38"/>
    </row>
    <row r="79" spans="3:7" x14ac:dyDescent="0.2">
      <c r="G79" s="38"/>
    </row>
    <row r="80" spans="3:7" x14ac:dyDescent="0.2">
      <c r="G80" s="38"/>
    </row>
    <row r="81" spans="7:7" x14ac:dyDescent="0.2">
      <c r="G81" s="38"/>
    </row>
    <row r="82" spans="7:7" x14ac:dyDescent="0.2">
      <c r="G82" s="38"/>
    </row>
    <row r="83" spans="7:7" x14ac:dyDescent="0.2">
      <c r="G83" s="38"/>
    </row>
    <row r="84" spans="7:7" x14ac:dyDescent="0.2">
      <c r="G84" s="38"/>
    </row>
    <row r="85" spans="7:7" x14ac:dyDescent="0.2">
      <c r="G85" s="38"/>
    </row>
    <row r="86" spans="7:7" x14ac:dyDescent="0.2">
      <c r="G86" s="38"/>
    </row>
    <row r="87" spans="7:7" x14ac:dyDescent="0.2">
      <c r="G87" s="38"/>
    </row>
    <row r="88" spans="7:7" x14ac:dyDescent="0.2">
      <c r="G88" s="38"/>
    </row>
    <row r="89" spans="7:7" x14ac:dyDescent="0.2">
      <c r="G89" s="38"/>
    </row>
    <row r="90" spans="7:7" x14ac:dyDescent="0.2">
      <c r="G90" s="38"/>
    </row>
    <row r="91" spans="7:7" x14ac:dyDescent="0.2">
      <c r="G91" s="38"/>
    </row>
    <row r="92" spans="7:7" x14ac:dyDescent="0.2">
      <c r="G92" s="38"/>
    </row>
    <row r="93" spans="7:7" x14ac:dyDescent="0.2">
      <c r="G93" s="38"/>
    </row>
    <row r="94" spans="7:7" x14ac:dyDescent="0.2">
      <c r="G94" s="38"/>
    </row>
    <row r="95" spans="7:7" x14ac:dyDescent="0.2">
      <c r="G95" s="38"/>
    </row>
    <row r="96" spans="7:7" x14ac:dyDescent="0.2">
      <c r="G96" s="38"/>
    </row>
    <row r="97" spans="7:7" x14ac:dyDescent="0.2">
      <c r="G97" s="38"/>
    </row>
    <row r="98" spans="7:7" x14ac:dyDescent="0.2">
      <c r="G98" s="38"/>
    </row>
    <row r="99" spans="7:7" x14ac:dyDescent="0.2">
      <c r="G99" s="38"/>
    </row>
    <row r="100" spans="7:7" x14ac:dyDescent="0.2">
      <c r="G100" s="38"/>
    </row>
    <row r="101" spans="7:7" x14ac:dyDescent="0.2">
      <c r="G101" s="38"/>
    </row>
    <row r="102" spans="7:7" x14ac:dyDescent="0.2">
      <c r="G102" s="38"/>
    </row>
    <row r="103" spans="7:7" x14ac:dyDescent="0.2">
      <c r="G103" s="38"/>
    </row>
    <row r="104" spans="7:7" x14ac:dyDescent="0.2">
      <c r="G104" s="38"/>
    </row>
    <row r="105" spans="7:7" x14ac:dyDescent="0.2">
      <c r="G105" s="38"/>
    </row>
    <row r="106" spans="7:7" x14ac:dyDescent="0.2">
      <c r="G106" s="38"/>
    </row>
    <row r="107" spans="7:7" x14ac:dyDescent="0.2">
      <c r="G107" s="38"/>
    </row>
    <row r="108" spans="7:7" x14ac:dyDescent="0.2">
      <c r="G108" s="38"/>
    </row>
    <row r="109" spans="7:7" x14ac:dyDescent="0.2">
      <c r="G109" s="38"/>
    </row>
    <row r="110" spans="7:7" x14ac:dyDescent="0.2">
      <c r="G110" s="38"/>
    </row>
    <row r="111" spans="7:7" x14ac:dyDescent="0.2">
      <c r="G111" s="38"/>
    </row>
    <row r="112" spans="7:7" x14ac:dyDescent="0.2">
      <c r="G112" s="38"/>
    </row>
    <row r="113" spans="7:7" x14ac:dyDescent="0.2">
      <c r="G113" s="38"/>
    </row>
    <row r="114" spans="7:7" x14ac:dyDescent="0.2">
      <c r="G114" s="38"/>
    </row>
    <row r="115" spans="7:7" x14ac:dyDescent="0.2">
      <c r="G115" s="38"/>
    </row>
    <row r="116" spans="7:7" x14ac:dyDescent="0.2">
      <c r="G116" s="38"/>
    </row>
    <row r="117" spans="7:7" x14ac:dyDescent="0.2">
      <c r="G117" s="38"/>
    </row>
    <row r="118" spans="7:7" x14ac:dyDescent="0.2">
      <c r="G118" s="38"/>
    </row>
    <row r="119" spans="7:7" x14ac:dyDescent="0.2">
      <c r="G119" s="38"/>
    </row>
    <row r="120" spans="7:7" x14ac:dyDescent="0.2">
      <c r="G120" s="38"/>
    </row>
    <row r="121" spans="7:7" x14ac:dyDescent="0.2">
      <c r="G121" s="38"/>
    </row>
    <row r="122" spans="7:7" x14ac:dyDescent="0.2">
      <c r="G122" s="38"/>
    </row>
    <row r="123" spans="7:7" x14ac:dyDescent="0.2">
      <c r="G123" s="38"/>
    </row>
    <row r="124" spans="7:7" x14ac:dyDescent="0.2">
      <c r="G124" s="38"/>
    </row>
    <row r="125" spans="7:7" x14ac:dyDescent="0.2">
      <c r="G125" s="38"/>
    </row>
    <row r="126" spans="7:7" x14ac:dyDescent="0.2">
      <c r="G126" s="38"/>
    </row>
    <row r="127" spans="7:7" x14ac:dyDescent="0.2">
      <c r="G127" s="38"/>
    </row>
    <row r="128" spans="7:7" x14ac:dyDescent="0.2">
      <c r="G128" s="38"/>
    </row>
    <row r="129" spans="7:7" x14ac:dyDescent="0.2">
      <c r="G129" s="38"/>
    </row>
    <row r="130" spans="7:7" x14ac:dyDescent="0.2">
      <c r="G130" s="38"/>
    </row>
    <row r="131" spans="7:7" x14ac:dyDescent="0.2">
      <c r="G131" s="38"/>
    </row>
    <row r="132" spans="7:7" x14ac:dyDescent="0.2">
      <c r="G132" s="38"/>
    </row>
    <row r="133" spans="7:7" x14ac:dyDescent="0.2">
      <c r="G133" s="38"/>
    </row>
    <row r="134" spans="7:7" x14ac:dyDescent="0.2">
      <c r="G134" s="38"/>
    </row>
    <row r="135" spans="7:7" x14ac:dyDescent="0.2">
      <c r="G135" s="38"/>
    </row>
    <row r="136" spans="7:7" x14ac:dyDescent="0.2">
      <c r="G136" s="38"/>
    </row>
    <row r="137" spans="7:7" x14ac:dyDescent="0.2">
      <c r="G137" s="38"/>
    </row>
    <row r="138" spans="7:7" x14ac:dyDescent="0.2">
      <c r="G138" s="38"/>
    </row>
    <row r="139" spans="7:7" x14ac:dyDescent="0.2">
      <c r="G139" s="38"/>
    </row>
    <row r="140" spans="7:7" x14ac:dyDescent="0.2">
      <c r="G140" s="38"/>
    </row>
    <row r="141" spans="7:7" x14ac:dyDescent="0.2">
      <c r="G141" s="38"/>
    </row>
    <row r="142" spans="7:7" x14ac:dyDescent="0.2">
      <c r="G142" s="38"/>
    </row>
    <row r="143" spans="7:7" x14ac:dyDescent="0.2">
      <c r="G143" s="38"/>
    </row>
    <row r="144" spans="7:7" x14ac:dyDescent="0.2">
      <c r="G144" s="38"/>
    </row>
    <row r="145" spans="7:7" x14ac:dyDescent="0.2">
      <c r="G145" s="38"/>
    </row>
    <row r="146" spans="7:7" x14ac:dyDescent="0.2">
      <c r="G146" s="38"/>
    </row>
    <row r="147" spans="7:7" x14ac:dyDescent="0.2">
      <c r="G147" s="38"/>
    </row>
    <row r="148" spans="7:7" x14ac:dyDescent="0.2">
      <c r="G148" s="38"/>
    </row>
    <row r="149" spans="7:7" x14ac:dyDescent="0.2">
      <c r="G149" s="38"/>
    </row>
    <row r="150" spans="7:7" x14ac:dyDescent="0.2">
      <c r="G150" s="38"/>
    </row>
    <row r="151" spans="7:7" x14ac:dyDescent="0.2">
      <c r="G151" s="38"/>
    </row>
    <row r="152" spans="7:7" x14ac:dyDescent="0.2">
      <c r="G152" s="38"/>
    </row>
    <row r="153" spans="7:7" x14ac:dyDescent="0.2">
      <c r="G153" s="38"/>
    </row>
    <row r="154" spans="7:7" x14ac:dyDescent="0.2">
      <c r="G154" s="38"/>
    </row>
    <row r="155" spans="7:7" x14ac:dyDescent="0.2">
      <c r="G155" s="38"/>
    </row>
    <row r="156" spans="7:7" x14ac:dyDescent="0.2">
      <c r="G156" s="38"/>
    </row>
    <row r="407" spans="1:8" x14ac:dyDescent="0.2">
      <c r="A407" s="44"/>
      <c r="B407" s="29"/>
      <c r="C407" s="29"/>
      <c r="D407" s="29"/>
      <c r="E407" s="29"/>
      <c r="F407" s="29"/>
      <c r="H407" s="29"/>
    </row>
    <row r="409" spans="1:8" x14ac:dyDescent="0.2">
      <c r="G409" s="31"/>
    </row>
  </sheetData>
  <mergeCells count="25">
    <mergeCell ref="B19:C19"/>
    <mergeCell ref="D19:F19"/>
    <mergeCell ref="G19:G20"/>
    <mergeCell ref="H19:H20"/>
    <mergeCell ref="A55:A56"/>
    <mergeCell ref="B55:C55"/>
    <mergeCell ref="D55:F55"/>
    <mergeCell ref="G55:G56"/>
    <mergeCell ref="H55:H56"/>
    <mergeCell ref="A7:A8"/>
    <mergeCell ref="B7:C7"/>
    <mergeCell ref="D7:F7"/>
    <mergeCell ref="H7:H8"/>
    <mergeCell ref="A43:A44"/>
    <mergeCell ref="B43:C43"/>
    <mergeCell ref="D43:F43"/>
    <mergeCell ref="H43:H44"/>
    <mergeCell ref="G7:G8"/>
    <mergeCell ref="A31:A32"/>
    <mergeCell ref="B31:C31"/>
    <mergeCell ref="D31:F31"/>
    <mergeCell ref="G31:G32"/>
    <mergeCell ref="H31:H32"/>
    <mergeCell ref="G43:G44"/>
    <mergeCell ref="A19:A20"/>
  </mergeCells>
  <pageMargins left="0.70866141732283472" right="0.70866141732283472" top="0.78740157480314965" bottom="0.39370078740157483" header="0.31496062992125984" footer="0.31496062992125984"/>
  <pageSetup paperSize="9" scale="62" fitToHeight="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I439"/>
  <sheetViews>
    <sheetView workbookViewId="0"/>
  </sheetViews>
  <sheetFormatPr defaultColWidth="9.140625" defaultRowHeight="12.75" x14ac:dyDescent="0.2"/>
  <cols>
    <col min="1" max="1" width="42.42578125" style="29" customWidth="1"/>
    <col min="2" max="2" width="14.7109375" style="38" customWidth="1"/>
    <col min="3" max="3" width="14.7109375" style="28" customWidth="1"/>
    <col min="4" max="4" width="14.7109375" style="38" customWidth="1"/>
    <col min="5" max="5" width="16.7109375" style="28" customWidth="1"/>
    <col min="6" max="6" width="14.7109375" style="28" customWidth="1"/>
    <col min="7" max="7" width="14.7109375" style="38" customWidth="1"/>
    <col min="8" max="8" width="10.7109375" style="37" customWidth="1"/>
    <col min="9" max="9" width="12.28515625" style="31" bestFit="1" customWidth="1"/>
    <col min="10" max="16384" width="9.140625" style="29"/>
  </cols>
  <sheetData>
    <row r="1" spans="1:9" ht="15" customHeight="1" x14ac:dyDescent="0.2">
      <c r="A1" s="47"/>
    </row>
    <row r="2" spans="1:9" ht="24.95" customHeight="1" x14ac:dyDescent="0.35">
      <c r="A2" s="27" t="s">
        <v>506</v>
      </c>
    </row>
    <row r="3" spans="1:9" ht="15" customHeight="1" x14ac:dyDescent="0.2"/>
    <row r="4" spans="1:9" ht="20.100000000000001" customHeight="1" x14ac:dyDescent="0.3">
      <c r="A4" s="39" t="s">
        <v>39</v>
      </c>
    </row>
    <row r="5" spans="1:9" ht="15" customHeight="1" x14ac:dyDescent="0.3">
      <c r="A5" s="39"/>
    </row>
    <row r="6" spans="1:9" ht="15" customHeight="1" thickBot="1" x14ac:dyDescent="0.25">
      <c r="H6" s="262" t="s">
        <v>0</v>
      </c>
    </row>
    <row r="7" spans="1:9" ht="20.100000000000001" customHeight="1" x14ac:dyDescent="0.2">
      <c r="A7" s="1213" t="s">
        <v>1</v>
      </c>
      <c r="B7" s="1198" t="s">
        <v>365</v>
      </c>
      <c r="C7" s="1199"/>
      <c r="D7" s="1198" t="s">
        <v>440</v>
      </c>
      <c r="E7" s="1202"/>
      <c r="F7" s="1199"/>
      <c r="G7" s="1203" t="s">
        <v>507</v>
      </c>
      <c r="H7" s="1205" t="s">
        <v>509</v>
      </c>
    </row>
    <row r="8" spans="1:9" ht="35.1" customHeight="1" thickBot="1" x14ac:dyDescent="0.25">
      <c r="A8" s="1214"/>
      <c r="B8" s="264" t="s">
        <v>109</v>
      </c>
      <c r="C8" s="942" t="s">
        <v>592</v>
      </c>
      <c r="D8" s="264" t="s">
        <v>109</v>
      </c>
      <c r="E8" s="265" t="s">
        <v>589</v>
      </c>
      <c r="F8" s="266" t="s">
        <v>591</v>
      </c>
      <c r="G8" s="1204"/>
      <c r="H8" s="1206"/>
    </row>
    <row r="9" spans="1:9" ht="20.25" customHeight="1" x14ac:dyDescent="0.25">
      <c r="A9" s="108" t="s">
        <v>97</v>
      </c>
      <c r="B9" s="944">
        <f>+'01'!D21</f>
        <v>77358</v>
      </c>
      <c r="C9" s="945">
        <f>+'01'!E21</f>
        <v>64551.740000000005</v>
      </c>
      <c r="D9" s="943">
        <f>+'01'!F21</f>
        <v>78132</v>
      </c>
      <c r="E9" s="1184">
        <f>+'01'!G21</f>
        <v>95104.859999999986</v>
      </c>
      <c r="F9" s="163">
        <f>+'01'!H21</f>
        <v>46359.420000000006</v>
      </c>
      <c r="G9" s="839">
        <f>+'01'!L21</f>
        <v>75132</v>
      </c>
      <c r="H9" s="110">
        <f>G9/D9*100</f>
        <v>96.160344033174624</v>
      </c>
    </row>
    <row r="10" spans="1:9" s="789" customFormat="1" ht="21.75" customHeight="1" x14ac:dyDescent="0.25">
      <c r="A10" s="108" t="s">
        <v>98</v>
      </c>
      <c r="B10" s="946">
        <f>+'02'!D25</f>
        <v>86704</v>
      </c>
      <c r="C10" s="105">
        <f>+'02'!E25</f>
        <v>61061.469999999994</v>
      </c>
      <c r="D10" s="943">
        <f>+'02'!F25</f>
        <v>86609</v>
      </c>
      <c r="E10" s="1185">
        <f>+'02'!G25</f>
        <v>89007.22</v>
      </c>
      <c r="F10" s="163">
        <f>+'02'!H25</f>
        <v>43016.91</v>
      </c>
      <c r="G10" s="839">
        <f>+'02'!L25</f>
        <v>85155</v>
      </c>
      <c r="H10" s="110">
        <f t="shared" ref="H10:H32" si="0">G10/D10*100</f>
        <v>98.321190638386312</v>
      </c>
      <c r="I10" s="31"/>
    </row>
    <row r="11" spans="1:9" ht="20.25" customHeight="1" x14ac:dyDescent="0.25">
      <c r="A11" s="108" t="s">
        <v>28</v>
      </c>
      <c r="B11" s="946">
        <f>+'03'!D12</f>
        <v>59083</v>
      </c>
      <c r="C11" s="105">
        <f>+'03'!E12</f>
        <v>51104.72</v>
      </c>
      <c r="D11" s="943">
        <f>+'03'!F12</f>
        <v>60874</v>
      </c>
      <c r="E11" s="1185">
        <f>+'03'!G12</f>
        <v>62870.86</v>
      </c>
      <c r="F11" s="163">
        <f>+'03'!H12</f>
        <v>41799.380000000005</v>
      </c>
      <c r="G11" s="839">
        <f>+'03'!L12</f>
        <v>63074</v>
      </c>
      <c r="H11" s="110">
        <f t="shared" si="0"/>
        <v>103.61402240693893</v>
      </c>
    </row>
    <row r="12" spans="1:9" s="789" customFormat="1" ht="21" customHeight="1" x14ac:dyDescent="0.25">
      <c r="A12" s="108" t="s">
        <v>29</v>
      </c>
      <c r="B12" s="946">
        <f>+'04'!D23</f>
        <v>2091408</v>
      </c>
      <c r="C12" s="105">
        <f>+'04'!E23</f>
        <v>2688722.33</v>
      </c>
      <c r="D12" s="943">
        <f>+'04'!F23</f>
        <v>2847322</v>
      </c>
      <c r="E12" s="1185">
        <f>+'04'!G23</f>
        <v>3303555.71</v>
      </c>
      <c r="F12" s="163">
        <f>+'04'!H23</f>
        <v>2828081.09</v>
      </c>
      <c r="G12" s="839">
        <f>+'04'!L23</f>
        <v>2912822</v>
      </c>
      <c r="H12" s="110">
        <f t="shared" si="0"/>
        <v>102.30040718963294</v>
      </c>
      <c r="I12" s="31"/>
    </row>
    <row r="13" spans="1:9" ht="20.25" customHeight="1" x14ac:dyDescent="0.25">
      <c r="A13" s="108" t="s">
        <v>95</v>
      </c>
      <c r="B13" s="946">
        <f>+'05'!D110</f>
        <v>1155417</v>
      </c>
      <c r="C13" s="105">
        <f>+'05'!E110</f>
        <v>1021737.71</v>
      </c>
      <c r="D13" s="943">
        <f>+'05'!F110</f>
        <v>1170643</v>
      </c>
      <c r="E13" s="1185">
        <f>+'05'!G110</f>
        <v>1183334.17</v>
      </c>
      <c r="F13" s="163">
        <f>+'05'!H110</f>
        <v>755275.23999999987</v>
      </c>
      <c r="G13" s="839">
        <f>+'05'!L110</f>
        <v>1121143</v>
      </c>
      <c r="H13" s="110">
        <f t="shared" si="0"/>
        <v>95.771554607168881</v>
      </c>
    </row>
    <row r="14" spans="1:9" ht="20.25" customHeight="1" x14ac:dyDescent="0.25">
      <c r="A14" s="108" t="s">
        <v>30</v>
      </c>
      <c r="B14" s="946">
        <f>+'06'!D78</f>
        <v>536669</v>
      </c>
      <c r="C14" s="105">
        <f>+'06'!E78</f>
        <v>542615.14999999991</v>
      </c>
      <c r="D14" s="943">
        <f>+'06'!F78</f>
        <v>548576</v>
      </c>
      <c r="E14" s="1185">
        <f>+'06'!G78</f>
        <v>572792.78100000008</v>
      </c>
      <c r="F14" s="163">
        <f>+'06'!H78</f>
        <v>411015.72799999994</v>
      </c>
      <c r="G14" s="839">
        <f>+'06'!L78</f>
        <v>592503</v>
      </c>
      <c r="H14" s="110">
        <f t="shared" si="0"/>
        <v>108.00745931283906</v>
      </c>
    </row>
    <row r="15" spans="1:9" ht="20.25" customHeight="1" x14ac:dyDescent="0.25">
      <c r="A15" s="108" t="s">
        <v>31</v>
      </c>
      <c r="B15" s="946">
        <f>+'07'!D23</f>
        <v>929774</v>
      </c>
      <c r="C15" s="105">
        <f>+'07'!E23</f>
        <v>727861.92999999993</v>
      </c>
      <c r="D15" s="943">
        <f>+'07'!F23</f>
        <v>815772</v>
      </c>
      <c r="E15" s="1185">
        <f>+'07'!G23</f>
        <v>857765.02999999991</v>
      </c>
      <c r="F15" s="163">
        <f>+'07'!H23</f>
        <v>669701.57000000007</v>
      </c>
      <c r="G15" s="839">
        <f>+'07'!L23</f>
        <v>755013</v>
      </c>
      <c r="H15" s="110">
        <f t="shared" si="0"/>
        <v>92.551963048498848</v>
      </c>
    </row>
    <row r="16" spans="1:9" ht="20.25" customHeight="1" x14ac:dyDescent="0.25">
      <c r="A16" s="108" t="s">
        <v>32</v>
      </c>
      <c r="B16" s="946">
        <f>+'08'!D21</f>
        <v>17350</v>
      </c>
      <c r="C16" s="105">
        <f>+'08'!E21</f>
        <v>6161.7600000000011</v>
      </c>
      <c r="D16" s="943">
        <f>+'08'!F21</f>
        <v>17218</v>
      </c>
      <c r="E16" s="1185">
        <f>+'08'!G21</f>
        <v>23163.07</v>
      </c>
      <c r="F16" s="163">
        <f>+'08'!H21</f>
        <v>8136.29</v>
      </c>
      <c r="G16" s="839">
        <f>+'08'!L21</f>
        <v>22650</v>
      </c>
      <c r="H16" s="110">
        <f t="shared" si="0"/>
        <v>131.54837960274133</v>
      </c>
    </row>
    <row r="17" spans="1:9" ht="20.25" customHeight="1" x14ac:dyDescent="0.25">
      <c r="A17" s="108" t="s">
        <v>33</v>
      </c>
      <c r="B17" s="946">
        <f>+'09'!D30</f>
        <v>74252</v>
      </c>
      <c r="C17" s="105">
        <f>+'09'!E30</f>
        <v>77595.63</v>
      </c>
      <c r="D17" s="943">
        <f>+'09'!F30</f>
        <v>76451</v>
      </c>
      <c r="E17" s="1185">
        <f>+'09'!G30</f>
        <v>82948.349999999991</v>
      </c>
      <c r="F17" s="163">
        <f>+'09'!H30</f>
        <v>69947.64</v>
      </c>
      <c r="G17" s="839">
        <f>+'09'!L30</f>
        <v>77399</v>
      </c>
      <c r="H17" s="110">
        <f t="shared" si="0"/>
        <v>101.24000994100797</v>
      </c>
    </row>
    <row r="18" spans="1:9" ht="20.25" customHeight="1" x14ac:dyDescent="0.25">
      <c r="A18" s="108" t="s">
        <v>34</v>
      </c>
      <c r="B18" s="946">
        <f>+'10'!D24</f>
        <v>46011</v>
      </c>
      <c r="C18" s="105">
        <f>+'10'!E24</f>
        <v>42861.91</v>
      </c>
      <c r="D18" s="943">
        <f>+'10'!F24</f>
        <v>47471</v>
      </c>
      <c r="E18" s="1185">
        <f>+'10'!G24</f>
        <v>61893.56</v>
      </c>
      <c r="F18" s="163">
        <f>+'10'!H24</f>
        <v>24786.190000000002</v>
      </c>
      <c r="G18" s="839">
        <f>+'10'!L24</f>
        <v>56471</v>
      </c>
      <c r="H18" s="110">
        <f t="shared" si="0"/>
        <v>118.95894335489035</v>
      </c>
    </row>
    <row r="19" spans="1:9" ht="20.25" customHeight="1" x14ac:dyDescent="0.25">
      <c r="A19" s="108" t="s">
        <v>35</v>
      </c>
      <c r="B19" s="946">
        <f>+'11'!D35</f>
        <v>20139</v>
      </c>
      <c r="C19" s="105">
        <f>+'11'!E35</f>
        <v>27556.880000000001</v>
      </c>
      <c r="D19" s="943">
        <f>+'11'!F35</f>
        <v>20340</v>
      </c>
      <c r="E19" s="1185">
        <f>+'11'!G35</f>
        <v>78582.799999999988</v>
      </c>
      <c r="F19" s="163">
        <f>+'11'!H35</f>
        <v>29881.48</v>
      </c>
      <c r="G19" s="839">
        <f>+'11'!L35</f>
        <v>24340</v>
      </c>
      <c r="H19" s="110">
        <f t="shared" si="0"/>
        <v>119.66568338249755</v>
      </c>
    </row>
    <row r="20" spans="1:9" ht="20.25" customHeight="1" x14ac:dyDescent="0.25">
      <c r="A20" s="108" t="s">
        <v>36</v>
      </c>
      <c r="B20" s="946">
        <f>+'13'!C37</f>
        <v>2974</v>
      </c>
      <c r="C20" s="105">
        <f>+'13'!D37</f>
        <v>2127.2200000000003</v>
      </c>
      <c r="D20" s="943">
        <f>+'13'!E37</f>
        <v>4000</v>
      </c>
      <c r="E20" s="1185">
        <f>+'13'!F37</f>
        <v>3623.75</v>
      </c>
      <c r="F20" s="163">
        <f>+'13'!G37</f>
        <v>1021.1899999999999</v>
      </c>
      <c r="G20" s="839">
        <f>+'13'!K37</f>
        <v>2700</v>
      </c>
      <c r="H20" s="110">
        <f t="shared" si="0"/>
        <v>67.5</v>
      </c>
    </row>
    <row r="21" spans="1:9" ht="20.25" customHeight="1" x14ac:dyDescent="0.25">
      <c r="A21" s="108" t="s">
        <v>54</v>
      </c>
      <c r="B21" s="946">
        <f>+'14'!D25</f>
        <v>699662</v>
      </c>
      <c r="C21" s="105">
        <f>+'14'!E25</f>
        <v>663214.17000000016</v>
      </c>
      <c r="D21" s="943">
        <f>+'14'!F25</f>
        <v>743459</v>
      </c>
      <c r="E21" s="1185">
        <f>+'14'!G25</f>
        <v>744999</v>
      </c>
      <c r="F21" s="163">
        <f>+'14'!H25</f>
        <v>474004.03000000009</v>
      </c>
      <c r="G21" s="839">
        <f>+'14'!L25</f>
        <v>763980</v>
      </c>
      <c r="H21" s="110">
        <f t="shared" si="0"/>
        <v>102.76020601001534</v>
      </c>
    </row>
    <row r="22" spans="1:9" ht="20.25" customHeight="1" x14ac:dyDescent="0.25">
      <c r="A22" s="108" t="s">
        <v>81</v>
      </c>
      <c r="B22" s="946">
        <f>+'15'!C10</f>
        <v>2161</v>
      </c>
      <c r="C22" s="105">
        <f>+'15'!D10</f>
        <v>2844.58</v>
      </c>
      <c r="D22" s="943">
        <f>+'15'!E10</f>
        <v>1422</v>
      </c>
      <c r="E22" s="1185">
        <f>+'15'!F10</f>
        <v>4078.6</v>
      </c>
      <c r="F22" s="163">
        <f>+'15'!G10</f>
        <v>1733.53</v>
      </c>
      <c r="G22" s="839">
        <f>+'15'!K10</f>
        <v>1543</v>
      </c>
      <c r="H22" s="110">
        <f t="shared" si="0"/>
        <v>108.50914205344586</v>
      </c>
    </row>
    <row r="23" spans="1:9" ht="20.25" customHeight="1" x14ac:dyDescent="0.25">
      <c r="A23" s="108" t="s">
        <v>55</v>
      </c>
      <c r="B23" s="946">
        <f>+'16'!C10</f>
        <v>50</v>
      </c>
      <c r="C23" s="105">
        <f>+'16'!D10</f>
        <v>0</v>
      </c>
      <c r="D23" s="943">
        <f>+'16'!E10</f>
        <v>100</v>
      </c>
      <c r="E23" s="1185">
        <f>+'16'!F10</f>
        <v>47.02</v>
      </c>
      <c r="F23" s="163">
        <f>+'16'!G10</f>
        <v>0</v>
      </c>
      <c r="G23" s="839">
        <f>+'16'!K10</f>
        <v>100</v>
      </c>
      <c r="H23" s="110">
        <f t="shared" si="0"/>
        <v>100</v>
      </c>
    </row>
    <row r="24" spans="1:9" ht="20.25" customHeight="1" x14ac:dyDescent="0.25">
      <c r="A24" s="108" t="s">
        <v>37</v>
      </c>
      <c r="B24" s="946">
        <f>+'17'!D123</f>
        <v>559847</v>
      </c>
      <c r="C24" s="105">
        <f>+'17'!E123</f>
        <v>490735.96</v>
      </c>
      <c r="D24" s="943">
        <f>+'17'!F123</f>
        <v>535445</v>
      </c>
      <c r="E24" s="1185">
        <f>+'17'!G123</f>
        <v>621103.03999999992</v>
      </c>
      <c r="F24" s="163">
        <f>+'17'!H123</f>
        <v>482426.69</v>
      </c>
      <c r="G24" s="839">
        <f>+'17'!L123</f>
        <v>540445</v>
      </c>
      <c r="H24" s="110">
        <f t="shared" si="0"/>
        <v>100.93380272483634</v>
      </c>
    </row>
    <row r="25" spans="1:9" ht="20.25" customHeight="1" x14ac:dyDescent="0.25">
      <c r="A25" s="108" t="s">
        <v>82</v>
      </c>
      <c r="B25" s="946">
        <f>+'18'!C18</f>
        <v>3945</v>
      </c>
      <c r="C25" s="105">
        <f>+'18'!D18</f>
        <v>3320.81</v>
      </c>
      <c r="D25" s="943">
        <f>+'18'!E18</f>
        <v>3984</v>
      </c>
      <c r="E25" s="1185">
        <f>+'18'!F18</f>
        <v>5602</v>
      </c>
      <c r="F25" s="163">
        <f>+'18'!G18</f>
        <v>3184.6499999999996</v>
      </c>
      <c r="G25" s="839">
        <f>+'18'!K18</f>
        <v>3984</v>
      </c>
      <c r="H25" s="110">
        <f>G25/D25*100</f>
        <v>100</v>
      </c>
    </row>
    <row r="26" spans="1:9" ht="20.25" customHeight="1" x14ac:dyDescent="0.25">
      <c r="A26" s="108" t="s">
        <v>66</v>
      </c>
      <c r="B26" s="946">
        <v>0</v>
      </c>
      <c r="C26" s="105">
        <v>23223.95</v>
      </c>
      <c r="D26" s="943">
        <v>0</v>
      </c>
      <c r="E26" s="1185">
        <v>32814.129999999997</v>
      </c>
      <c r="F26" s="163">
        <v>18115.75</v>
      </c>
      <c r="G26" s="839">
        <v>0</v>
      </c>
      <c r="H26" s="791" t="s">
        <v>60</v>
      </c>
    </row>
    <row r="27" spans="1:9" ht="20.25" customHeight="1" x14ac:dyDescent="0.25">
      <c r="A27" s="108" t="s">
        <v>38</v>
      </c>
      <c r="B27" s="946">
        <f>+'23'!C12</f>
        <v>9150</v>
      </c>
      <c r="C27" s="105">
        <f>+'23'!D12</f>
        <v>39924.159999999996</v>
      </c>
      <c r="D27" s="943">
        <f>+'23'!E12</f>
        <v>9242</v>
      </c>
      <c r="E27" s="1185">
        <f>+'23'!F12</f>
        <v>72269.600000000006</v>
      </c>
      <c r="F27" s="163">
        <f>+'23'!G12</f>
        <v>66887.570000000007</v>
      </c>
      <c r="G27" s="839">
        <f>+'23'!K12</f>
        <v>9242</v>
      </c>
      <c r="H27" s="110">
        <f t="shared" si="0"/>
        <v>100</v>
      </c>
    </row>
    <row r="28" spans="1:9" ht="20.25" customHeight="1" x14ac:dyDescent="0.25">
      <c r="A28" s="108" t="s">
        <v>83</v>
      </c>
      <c r="B28" s="946">
        <f>+'24'!C12</f>
        <v>6810</v>
      </c>
      <c r="C28" s="105">
        <f>+'24'!D12</f>
        <v>7305.62</v>
      </c>
      <c r="D28" s="943">
        <f>+'24'!E12</f>
        <v>6878</v>
      </c>
      <c r="E28" s="1185">
        <f>+'24'!F12</f>
        <v>11292.42</v>
      </c>
      <c r="F28" s="163">
        <f>+'24'!G12</f>
        <v>5167.37</v>
      </c>
      <c r="G28" s="839">
        <f>+'24'!K12</f>
        <v>14878</v>
      </c>
      <c r="H28" s="110">
        <f t="shared" si="0"/>
        <v>216.3128816516429</v>
      </c>
    </row>
    <row r="29" spans="1:9" ht="20.25" customHeight="1" x14ac:dyDescent="0.25">
      <c r="A29" s="108" t="s">
        <v>84</v>
      </c>
      <c r="B29" s="946">
        <f>+'25'!D22</f>
        <v>17699</v>
      </c>
      <c r="C29" s="105">
        <f>+'25'!E22</f>
        <v>14516.78</v>
      </c>
      <c r="D29" s="943">
        <f>+'25'!F22</f>
        <v>18326</v>
      </c>
      <c r="E29" s="1185">
        <f>+'25'!G22</f>
        <v>21758.91</v>
      </c>
      <c r="F29" s="163">
        <f>+'25'!H22</f>
        <v>10145.99</v>
      </c>
      <c r="G29" s="839">
        <f>+'25'!L22</f>
        <v>21515</v>
      </c>
      <c r="H29" s="110">
        <f t="shared" si="0"/>
        <v>117.40150605696824</v>
      </c>
    </row>
    <row r="30" spans="1:9" ht="20.25" customHeight="1" x14ac:dyDescent="0.25">
      <c r="A30" s="108" t="s">
        <v>276</v>
      </c>
      <c r="B30" s="946">
        <f>+'26'!D36</f>
        <v>4096369</v>
      </c>
      <c r="C30" s="105">
        <f>+'26'!E36</f>
        <v>4854988.1100000003</v>
      </c>
      <c r="D30" s="943">
        <f>+'26'!F36</f>
        <v>5330594</v>
      </c>
      <c r="E30" s="1185">
        <f>+'26'!G36</f>
        <v>5586429.2300000004</v>
      </c>
      <c r="F30" s="163">
        <f>+'26'!H36</f>
        <v>3979749.95</v>
      </c>
      <c r="G30" s="839">
        <f>+'26'!L36</f>
        <v>5892057</v>
      </c>
      <c r="H30" s="110">
        <f t="shared" si="0"/>
        <v>110.53284118055136</v>
      </c>
    </row>
    <row r="31" spans="1:9" ht="20.25" customHeight="1" thickBot="1" x14ac:dyDescent="0.3">
      <c r="A31" s="108" t="s">
        <v>277</v>
      </c>
      <c r="B31" s="947">
        <f>+'27'!C17</f>
        <v>15000</v>
      </c>
      <c r="C31" s="948">
        <f>+'27'!D17</f>
        <v>1375.5500000000002</v>
      </c>
      <c r="D31" s="943">
        <f>+'27'!E17</f>
        <v>15150</v>
      </c>
      <c r="E31" s="1186">
        <f>+'27'!F17</f>
        <v>5150</v>
      </c>
      <c r="F31" s="163">
        <f>+'27'!G17</f>
        <v>921.34</v>
      </c>
      <c r="G31" s="839">
        <f>+'27'!K17</f>
        <v>8100</v>
      </c>
      <c r="H31" s="110">
        <f t="shared" si="0"/>
        <v>53.46534653465347</v>
      </c>
    </row>
    <row r="32" spans="1:9" s="35" customFormat="1" ht="30.75" customHeight="1" thickBot="1" x14ac:dyDescent="0.3">
      <c r="A32" s="52" t="s">
        <v>59</v>
      </c>
      <c r="B32" s="41">
        <f t="shared" ref="B32:G32" si="1">SUM(B9:B31)</f>
        <v>10507832</v>
      </c>
      <c r="C32" s="42">
        <f t="shared" si="1"/>
        <v>11415408.140000001</v>
      </c>
      <c r="D32" s="53">
        <f t="shared" si="1"/>
        <v>12438008</v>
      </c>
      <c r="E32" s="43">
        <f t="shared" si="1"/>
        <v>13520186.111</v>
      </c>
      <c r="F32" s="928">
        <f t="shared" si="1"/>
        <v>9971358.9980000034</v>
      </c>
      <c r="G32" s="840">
        <f t="shared" si="1"/>
        <v>13044246</v>
      </c>
      <c r="H32" s="54">
        <f t="shared" si="0"/>
        <v>104.87407629903439</v>
      </c>
      <c r="I32" s="31"/>
    </row>
    <row r="33" spans="1:8" ht="16.5" thickBot="1" x14ac:dyDescent="0.3">
      <c r="B33" s="28"/>
      <c r="D33" s="28"/>
      <c r="H33" s="55"/>
    </row>
    <row r="34" spans="1:8" ht="30.75" customHeight="1" thickBot="1" x14ac:dyDescent="0.3">
      <c r="A34" s="114" t="s">
        <v>244</v>
      </c>
      <c r="B34" s="997">
        <v>0</v>
      </c>
      <c r="C34" s="998">
        <v>-22596.400000000001</v>
      </c>
      <c r="D34" s="116">
        <v>0</v>
      </c>
      <c r="E34" s="117">
        <v>-28375</v>
      </c>
      <c r="F34" s="115">
        <v>-21690</v>
      </c>
      <c r="H34" s="56"/>
    </row>
    <row r="35" spans="1:8" ht="32.25" customHeight="1" thickBot="1" x14ac:dyDescent="0.3">
      <c r="A35" s="36" t="s">
        <v>71</v>
      </c>
      <c r="B35" s="41">
        <f>SUM(B32+B34)</f>
        <v>10507832</v>
      </c>
      <c r="C35" s="42">
        <f>SUM(C32+C34)</f>
        <v>11392811.74</v>
      </c>
      <c r="D35" s="53">
        <f>SUM(D32+D34)</f>
        <v>12438008</v>
      </c>
      <c r="E35" s="43">
        <f>SUM(E32+E34)</f>
        <v>13491811.111</v>
      </c>
      <c r="F35" s="42">
        <f>SUM(F32+F34)</f>
        <v>9949668.9980000034</v>
      </c>
      <c r="G35" s="1190"/>
      <c r="H35" s="55"/>
    </row>
    <row r="36" spans="1:8" x14ac:dyDescent="0.2">
      <c r="B36" s="28"/>
      <c r="D36" s="28"/>
    </row>
    <row r="37" spans="1:8" x14ac:dyDescent="0.2">
      <c r="B37" s="28"/>
      <c r="D37" s="28"/>
    </row>
    <row r="439" spans="1:8" x14ac:dyDescent="0.2">
      <c r="A439" s="44"/>
      <c r="B439" s="29"/>
      <c r="C439" s="29"/>
      <c r="D439" s="29"/>
      <c r="E439" s="29"/>
      <c r="F439" s="29"/>
      <c r="G439" s="40"/>
      <c r="H439" s="29"/>
    </row>
  </sheetData>
  <mergeCells count="5">
    <mergeCell ref="A7:A8"/>
    <mergeCell ref="B7:C7"/>
    <mergeCell ref="D7:F7"/>
    <mergeCell ref="G7:G8"/>
    <mergeCell ref="H7:H8"/>
  </mergeCells>
  <phoneticPr fontId="8" type="noConversion"/>
  <printOptions horizontalCentered="1"/>
  <pageMargins left="0.39370078740157483" right="0.39370078740157483" top="0.78740157480314965" bottom="0.39370078740157483" header="0.59055118110236227" footer="0.59055118110236227"/>
  <pageSetup paperSize="9" scale="7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O24"/>
  <sheetViews>
    <sheetView workbookViewId="0"/>
  </sheetViews>
  <sheetFormatPr defaultRowHeight="12.75" x14ac:dyDescent="0.2"/>
  <cols>
    <col min="1" max="1" width="7.7109375" style="67" customWidth="1"/>
    <col min="2" max="2" width="6.7109375" style="1" customWidth="1"/>
    <col min="3" max="3" width="41.7109375" style="1" customWidth="1"/>
    <col min="4" max="4" width="14.7109375" style="2" customWidth="1"/>
    <col min="5" max="5" width="14.7109375" style="3" customWidth="1"/>
    <col min="6" max="6" width="14.7109375" style="2" customWidth="1"/>
    <col min="7" max="7" width="16.5703125" style="3" customWidth="1"/>
    <col min="8" max="9" width="14.7109375" style="3" customWidth="1"/>
    <col min="10" max="10" width="15.42578125" style="3" customWidth="1"/>
    <col min="11" max="11" width="14.7109375" style="3" customWidth="1"/>
    <col min="12" max="12" width="16.7109375" style="787" customWidth="1"/>
    <col min="13" max="14" width="9.7109375" style="5" customWidth="1"/>
    <col min="15" max="15" width="17.85546875" style="1" bestFit="1" customWidth="1"/>
    <col min="16" max="257" width="9.140625" style="1"/>
    <col min="258" max="258" width="6.7109375" style="1" customWidth="1"/>
    <col min="259" max="259" width="41.5703125" style="1" customWidth="1"/>
    <col min="260" max="267" width="14.7109375" style="1" customWidth="1"/>
    <col min="268" max="268" width="16.7109375" style="1" customWidth="1"/>
    <col min="269" max="269" width="13.85546875" style="1" customWidth="1"/>
    <col min="270" max="270" width="14.710937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5" width="13.85546875" style="1" customWidth="1"/>
    <col min="526" max="526" width="14.710937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1" width="13.85546875" style="1" customWidth="1"/>
    <col min="782" max="782" width="14.710937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7" width="13.85546875" style="1" customWidth="1"/>
    <col min="1038" max="1038" width="14.710937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3" width="13.85546875" style="1" customWidth="1"/>
    <col min="1294" max="1294" width="14.710937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49" width="13.85546875" style="1" customWidth="1"/>
    <col min="1550" max="1550" width="14.710937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5" width="13.85546875" style="1" customWidth="1"/>
    <col min="1806" max="1806" width="14.710937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1" width="13.85546875" style="1" customWidth="1"/>
    <col min="2062" max="2062" width="14.710937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7" width="13.85546875" style="1" customWidth="1"/>
    <col min="2318" max="2318" width="14.710937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3" width="13.85546875" style="1" customWidth="1"/>
    <col min="2574" max="2574" width="14.710937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29" width="13.85546875" style="1" customWidth="1"/>
    <col min="2830" max="2830" width="14.710937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5" width="13.85546875" style="1" customWidth="1"/>
    <col min="3086" max="3086" width="14.710937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1" width="13.85546875" style="1" customWidth="1"/>
    <col min="3342" max="3342" width="14.710937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7" width="13.85546875" style="1" customWidth="1"/>
    <col min="3598" max="3598" width="14.710937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3" width="13.85546875" style="1" customWidth="1"/>
    <col min="3854" max="3854" width="14.710937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09" width="13.85546875" style="1" customWidth="1"/>
    <col min="4110" max="4110" width="14.710937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5" width="13.85546875" style="1" customWidth="1"/>
    <col min="4366" max="4366" width="14.710937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1" width="13.85546875" style="1" customWidth="1"/>
    <col min="4622" max="4622" width="14.710937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7" width="13.85546875" style="1" customWidth="1"/>
    <col min="4878" max="4878" width="14.710937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3" width="13.85546875" style="1" customWidth="1"/>
    <col min="5134" max="5134" width="14.710937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89" width="13.85546875" style="1" customWidth="1"/>
    <col min="5390" max="5390" width="14.710937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5" width="13.85546875" style="1" customWidth="1"/>
    <col min="5646" max="5646" width="14.710937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1" width="13.85546875" style="1" customWidth="1"/>
    <col min="5902" max="5902" width="14.710937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7" width="13.85546875" style="1" customWidth="1"/>
    <col min="6158" max="6158" width="14.710937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3" width="13.85546875" style="1" customWidth="1"/>
    <col min="6414" max="6414" width="14.710937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69" width="13.85546875" style="1" customWidth="1"/>
    <col min="6670" max="6670" width="14.710937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5" width="13.85546875" style="1" customWidth="1"/>
    <col min="6926" max="6926" width="14.710937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1" width="13.85546875" style="1" customWidth="1"/>
    <col min="7182" max="7182" width="14.710937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7" width="13.85546875" style="1" customWidth="1"/>
    <col min="7438" max="7438" width="14.710937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3" width="13.85546875" style="1" customWidth="1"/>
    <col min="7694" max="7694" width="14.710937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49" width="13.85546875" style="1" customWidth="1"/>
    <col min="7950" max="7950" width="14.710937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5" width="13.85546875" style="1" customWidth="1"/>
    <col min="8206" max="8206" width="14.710937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1" width="13.85546875" style="1" customWidth="1"/>
    <col min="8462" max="8462" width="14.710937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7" width="13.85546875" style="1" customWidth="1"/>
    <col min="8718" max="8718" width="14.710937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3" width="13.85546875" style="1" customWidth="1"/>
    <col min="8974" max="8974" width="14.710937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29" width="13.85546875" style="1" customWidth="1"/>
    <col min="9230" max="9230" width="14.710937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5" width="13.85546875" style="1" customWidth="1"/>
    <col min="9486" max="9486" width="14.710937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1" width="13.85546875" style="1" customWidth="1"/>
    <col min="9742" max="9742" width="14.710937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7" width="13.85546875" style="1" customWidth="1"/>
    <col min="9998" max="9998" width="14.710937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3" width="13.85546875" style="1" customWidth="1"/>
    <col min="10254" max="10254" width="14.710937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09" width="13.85546875" style="1" customWidth="1"/>
    <col min="10510" max="10510" width="14.710937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5" width="13.85546875" style="1" customWidth="1"/>
    <col min="10766" max="10766" width="14.710937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1" width="13.85546875" style="1" customWidth="1"/>
    <col min="11022" max="11022" width="14.710937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7" width="13.85546875" style="1" customWidth="1"/>
    <col min="11278" max="11278" width="14.710937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3" width="13.85546875" style="1" customWidth="1"/>
    <col min="11534" max="11534" width="14.710937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89" width="13.85546875" style="1" customWidth="1"/>
    <col min="11790" max="11790" width="14.710937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5" width="13.85546875" style="1" customWidth="1"/>
    <col min="12046" max="12046" width="14.710937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1" width="13.85546875" style="1" customWidth="1"/>
    <col min="12302" max="12302" width="14.710937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7" width="13.85546875" style="1" customWidth="1"/>
    <col min="12558" max="12558" width="14.710937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3" width="13.85546875" style="1" customWidth="1"/>
    <col min="12814" max="12814" width="14.710937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69" width="13.85546875" style="1" customWidth="1"/>
    <col min="13070" max="13070" width="14.710937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5" width="13.85546875" style="1" customWidth="1"/>
    <col min="13326" max="13326" width="14.710937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1" width="13.85546875" style="1" customWidth="1"/>
    <col min="13582" max="13582" width="14.710937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7" width="13.85546875" style="1" customWidth="1"/>
    <col min="13838" max="13838" width="14.710937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3" width="13.85546875" style="1" customWidth="1"/>
    <col min="14094" max="14094" width="14.710937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49" width="13.85546875" style="1" customWidth="1"/>
    <col min="14350" max="14350" width="14.710937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5" width="13.85546875" style="1" customWidth="1"/>
    <col min="14606" max="14606" width="14.710937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1" width="13.85546875" style="1" customWidth="1"/>
    <col min="14862" max="14862" width="14.710937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7" width="13.85546875" style="1" customWidth="1"/>
    <col min="15118" max="15118" width="14.710937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3" width="13.85546875" style="1" customWidth="1"/>
    <col min="15374" max="15374" width="14.710937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29" width="13.85546875" style="1" customWidth="1"/>
    <col min="15630" max="15630" width="14.710937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5" width="13.85546875" style="1" customWidth="1"/>
    <col min="15886" max="15886" width="14.710937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1" width="13.85546875" style="1" customWidth="1"/>
    <col min="16142" max="16142" width="14.7109375" style="1" customWidth="1"/>
    <col min="16143" max="16384" width="9.140625" style="1"/>
  </cols>
  <sheetData>
    <row r="1" spans="1:15" ht="15" customHeight="1" x14ac:dyDescent="0.25">
      <c r="N1" s="6"/>
    </row>
    <row r="2" spans="1:15" ht="20.100000000000001" customHeight="1" x14ac:dyDescent="0.35">
      <c r="A2" s="1303" t="s">
        <v>508</v>
      </c>
      <c r="B2" s="1196"/>
      <c r="C2" s="1196"/>
      <c r="D2" s="1196"/>
      <c r="E2" s="1196"/>
      <c r="F2" s="1196"/>
      <c r="G2" s="1196"/>
      <c r="H2" s="1196"/>
      <c r="I2" s="1196"/>
      <c r="J2" s="1196"/>
      <c r="K2" s="1196"/>
      <c r="L2" s="1196"/>
      <c r="M2" s="1196"/>
      <c r="N2" s="1304"/>
    </row>
    <row r="3" spans="1:15" ht="15" customHeight="1" x14ac:dyDescent="0.2"/>
    <row r="4" spans="1:15" ht="20.100000000000001" customHeight="1" x14ac:dyDescent="0.25">
      <c r="A4" s="68" t="s">
        <v>238</v>
      </c>
      <c r="M4" s="8"/>
    </row>
    <row r="5" spans="1:15" ht="15" customHeight="1" thickBot="1" x14ac:dyDescent="0.3">
      <c r="A5" s="68"/>
      <c r="N5" s="8" t="s">
        <v>0</v>
      </c>
    </row>
    <row r="6" spans="1:15" s="62" customFormat="1" ht="15.9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15"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15" s="9" customFormat="1" ht="20.100000000000001" customHeight="1" thickBot="1" x14ac:dyDescent="0.3">
      <c r="A8" s="69"/>
      <c r="B8" s="10" t="s">
        <v>104</v>
      </c>
      <c r="C8" s="10"/>
      <c r="D8" s="269"/>
      <c r="E8" s="270"/>
      <c r="F8" s="269"/>
      <c r="G8" s="3"/>
      <c r="H8" s="3"/>
      <c r="I8" s="3"/>
      <c r="J8" s="3"/>
      <c r="K8" s="3"/>
      <c r="L8" s="787"/>
      <c r="M8" s="16"/>
      <c r="N8" s="16"/>
    </row>
    <row r="9" spans="1:15" s="63" customFormat="1" ht="20.100000000000001" customHeight="1" x14ac:dyDescent="0.2">
      <c r="A9" s="484">
        <v>3133</v>
      </c>
      <c r="B9" s="1301" t="s">
        <v>117</v>
      </c>
      <c r="C9" s="1302"/>
      <c r="D9" s="436">
        <v>500</v>
      </c>
      <c r="E9" s="562">
        <v>131.93</v>
      </c>
      <c r="F9" s="436">
        <v>500</v>
      </c>
      <c r="G9" s="439">
        <v>500</v>
      </c>
      <c r="H9" s="440">
        <v>27</v>
      </c>
      <c r="I9" s="472">
        <v>0</v>
      </c>
      <c r="J9" s="438">
        <v>500</v>
      </c>
      <c r="K9" s="1021">
        <v>0</v>
      </c>
      <c r="L9" s="961">
        <f>SUM(I9:K9)</f>
        <v>500</v>
      </c>
      <c r="M9" s="441">
        <f t="shared" ref="M9:M10" si="0">L9/F9*100</f>
        <v>100</v>
      </c>
      <c r="N9" s="442">
        <f>L9/G9*100</f>
        <v>100</v>
      </c>
      <c r="O9" s="96"/>
    </row>
    <row r="10" spans="1:15" s="63" customFormat="1" ht="30" customHeight="1" x14ac:dyDescent="0.2">
      <c r="A10" s="637">
        <v>3900</v>
      </c>
      <c r="B10" s="1293" t="s">
        <v>516</v>
      </c>
      <c r="C10" s="1294"/>
      <c r="D10" s="454">
        <v>3000</v>
      </c>
      <c r="E10" s="446">
        <v>2234</v>
      </c>
      <c r="F10" s="454">
        <v>3000</v>
      </c>
      <c r="G10" s="457">
        <v>3000</v>
      </c>
      <c r="H10" s="458">
        <v>2689</v>
      </c>
      <c r="I10" s="512">
        <v>0</v>
      </c>
      <c r="J10" s="834">
        <v>3000</v>
      </c>
      <c r="K10" s="1028">
        <v>0</v>
      </c>
      <c r="L10" s="962">
        <f t="shared" ref="L10:L20" si="1">SUM(I10:K10)</f>
        <v>3000</v>
      </c>
      <c r="M10" s="459">
        <f t="shared" si="0"/>
        <v>100</v>
      </c>
      <c r="N10" s="460">
        <f t="shared" ref="N10:N21" si="2">L10/G10*100</f>
        <v>100</v>
      </c>
      <c r="O10" s="96"/>
    </row>
    <row r="11" spans="1:15" s="63" customFormat="1" ht="30" customHeight="1" x14ac:dyDescent="0.2">
      <c r="A11" s="637">
        <v>4349</v>
      </c>
      <c r="B11" s="1293" t="s">
        <v>517</v>
      </c>
      <c r="C11" s="1294"/>
      <c r="D11" s="445">
        <v>100</v>
      </c>
      <c r="E11" s="446">
        <v>0</v>
      </c>
      <c r="F11" s="445">
        <v>100</v>
      </c>
      <c r="G11" s="457">
        <v>100</v>
      </c>
      <c r="H11" s="458">
        <v>0</v>
      </c>
      <c r="I11" s="512">
        <v>0</v>
      </c>
      <c r="J11" s="834">
        <v>100</v>
      </c>
      <c r="K11" s="1028">
        <v>0</v>
      </c>
      <c r="L11" s="962">
        <f>SUM(I11:K11)</f>
        <v>100</v>
      </c>
      <c r="M11" s="459">
        <f t="shared" ref="M11" si="3">L11/F11*100</f>
        <v>100</v>
      </c>
      <c r="N11" s="460">
        <f t="shared" ref="N11" si="4">L11/G11*100</f>
        <v>100</v>
      </c>
      <c r="O11" s="96"/>
    </row>
    <row r="12" spans="1:15" s="63" customFormat="1" ht="20.100000000000001" customHeight="1" x14ac:dyDescent="0.2">
      <c r="A12" s="1183">
        <v>5219</v>
      </c>
      <c r="B12" s="1293" t="s">
        <v>587</v>
      </c>
      <c r="C12" s="1294"/>
      <c r="D12" s="567">
        <v>0</v>
      </c>
      <c r="E12" s="446">
        <v>0</v>
      </c>
      <c r="F12" s="567">
        <v>0</v>
      </c>
      <c r="G12" s="457">
        <v>1000</v>
      </c>
      <c r="H12" s="458">
        <v>0</v>
      </c>
      <c r="I12" s="512">
        <v>0</v>
      </c>
      <c r="J12" s="834">
        <v>0</v>
      </c>
      <c r="K12" s="1028">
        <v>0</v>
      </c>
      <c r="L12" s="962">
        <f>SUM(I12:K12)</f>
        <v>0</v>
      </c>
      <c r="M12" s="459" t="s">
        <v>60</v>
      </c>
      <c r="N12" s="460">
        <f t="shared" ref="N12" si="5">L12/G12*100</f>
        <v>0</v>
      </c>
      <c r="O12" s="96"/>
    </row>
    <row r="13" spans="1:15" ht="20.100000000000001" customHeight="1" x14ac:dyDescent="0.2">
      <c r="A13" s="1299">
        <v>6113</v>
      </c>
      <c r="B13" s="1293" t="s">
        <v>123</v>
      </c>
      <c r="C13" s="1294"/>
      <c r="D13" s="834">
        <v>54942</v>
      </c>
      <c r="E13" s="455">
        <v>48571.44</v>
      </c>
      <c r="F13" s="834">
        <v>54942</v>
      </c>
      <c r="G13" s="457">
        <v>68659.789999999994</v>
      </c>
      <c r="H13" s="458">
        <v>34578.910000000003</v>
      </c>
      <c r="I13" s="512">
        <v>56427</v>
      </c>
      <c r="J13" s="834">
        <v>0</v>
      </c>
      <c r="K13" s="1028">
        <v>0</v>
      </c>
      <c r="L13" s="962">
        <f t="shared" si="1"/>
        <v>56427</v>
      </c>
      <c r="M13" s="459">
        <f t="shared" ref="M13:M20" si="6">L13/F13*100</f>
        <v>102.70285027847548</v>
      </c>
      <c r="N13" s="460">
        <f t="shared" ref="N13:N19" si="7">L13/G13*100</f>
        <v>82.183473034216973</v>
      </c>
      <c r="O13" s="96"/>
    </row>
    <row r="14" spans="1:15" ht="15" customHeight="1" x14ac:dyDescent="0.2">
      <c r="A14" s="1300"/>
      <c r="B14" s="624" t="s">
        <v>96</v>
      </c>
      <c r="C14" s="638" t="s">
        <v>375</v>
      </c>
      <c r="D14" s="80">
        <v>41500</v>
      </c>
      <c r="E14" s="98">
        <v>40480.550000000003</v>
      </c>
      <c r="F14" s="80">
        <v>45500</v>
      </c>
      <c r="G14" s="81">
        <v>56590.38</v>
      </c>
      <c r="H14" s="82">
        <v>28828.45</v>
      </c>
      <c r="I14" s="83">
        <v>45500</v>
      </c>
      <c r="J14" s="1014">
        <v>0</v>
      </c>
      <c r="K14" s="1015">
        <v>0</v>
      </c>
      <c r="L14" s="1011">
        <f t="shared" si="1"/>
        <v>45500</v>
      </c>
      <c r="M14" s="132">
        <f t="shared" si="6"/>
        <v>100</v>
      </c>
      <c r="N14" s="73">
        <f t="shared" si="7"/>
        <v>80.402358139316263</v>
      </c>
      <c r="O14" s="96"/>
    </row>
    <row r="15" spans="1:15" ht="20.100000000000001" customHeight="1" x14ac:dyDescent="0.2">
      <c r="A15" s="489">
        <v>6172</v>
      </c>
      <c r="B15" s="1293" t="s">
        <v>105</v>
      </c>
      <c r="C15" s="1294"/>
      <c r="D15" s="454">
        <v>16900</v>
      </c>
      <c r="E15" s="455">
        <v>9137.25</v>
      </c>
      <c r="F15" s="454">
        <v>17120</v>
      </c>
      <c r="G15" s="479">
        <v>16825.07</v>
      </c>
      <c r="H15" s="486">
        <v>5805.83</v>
      </c>
      <c r="I15" s="512">
        <v>10000</v>
      </c>
      <c r="J15" s="834">
        <v>1746</v>
      </c>
      <c r="K15" s="1028">
        <v>889</v>
      </c>
      <c r="L15" s="962">
        <f t="shared" si="1"/>
        <v>12635</v>
      </c>
      <c r="M15" s="459">
        <f t="shared" si="6"/>
        <v>73.802570093457945</v>
      </c>
      <c r="N15" s="460">
        <f t="shared" si="7"/>
        <v>75.096270030377283</v>
      </c>
      <c r="O15" s="96"/>
    </row>
    <row r="16" spans="1:15" s="63" customFormat="1" ht="20.100000000000001" customHeight="1" x14ac:dyDescent="0.2">
      <c r="A16" s="637">
        <v>6221</v>
      </c>
      <c r="B16" s="1293" t="s">
        <v>265</v>
      </c>
      <c r="C16" s="1294"/>
      <c r="D16" s="445">
        <v>100</v>
      </c>
      <c r="E16" s="446">
        <v>3000</v>
      </c>
      <c r="F16" s="445">
        <v>100</v>
      </c>
      <c r="G16" s="457">
        <v>100</v>
      </c>
      <c r="H16" s="458">
        <v>0</v>
      </c>
      <c r="I16" s="512">
        <v>0</v>
      </c>
      <c r="J16" s="834">
        <v>100</v>
      </c>
      <c r="K16" s="1028">
        <v>0</v>
      </c>
      <c r="L16" s="962">
        <f t="shared" si="1"/>
        <v>100</v>
      </c>
      <c r="M16" s="459">
        <f t="shared" si="6"/>
        <v>100</v>
      </c>
      <c r="N16" s="460">
        <f t="shared" si="7"/>
        <v>100</v>
      </c>
      <c r="O16" s="96"/>
    </row>
    <row r="17" spans="1:15" ht="20.100000000000001" customHeight="1" x14ac:dyDescent="0.2">
      <c r="A17" s="483">
        <v>6223</v>
      </c>
      <c r="B17" s="1293" t="s">
        <v>518</v>
      </c>
      <c r="C17" s="1294"/>
      <c r="D17" s="477">
        <v>800</v>
      </c>
      <c r="E17" s="500">
        <v>461.12</v>
      </c>
      <c r="F17" s="477">
        <v>1100</v>
      </c>
      <c r="G17" s="479">
        <v>2650</v>
      </c>
      <c r="H17" s="486">
        <v>1306.18</v>
      </c>
      <c r="I17" s="512">
        <v>500</v>
      </c>
      <c r="J17" s="834">
        <v>400</v>
      </c>
      <c r="K17" s="1028">
        <v>200</v>
      </c>
      <c r="L17" s="962">
        <f t="shared" si="1"/>
        <v>1100</v>
      </c>
      <c r="M17" s="459">
        <f t="shared" si="6"/>
        <v>100</v>
      </c>
      <c r="N17" s="460">
        <f t="shared" si="7"/>
        <v>41.509433962264154</v>
      </c>
      <c r="O17" s="96"/>
    </row>
    <row r="18" spans="1:15" ht="20.100000000000001" customHeight="1" x14ac:dyDescent="0.2">
      <c r="A18" s="483">
        <v>6229</v>
      </c>
      <c r="B18" s="1293" t="s">
        <v>515</v>
      </c>
      <c r="C18" s="1294"/>
      <c r="D18" s="477">
        <v>0</v>
      </c>
      <c r="E18" s="500">
        <v>0</v>
      </c>
      <c r="F18" s="477">
        <v>0</v>
      </c>
      <c r="G18" s="479">
        <v>1000</v>
      </c>
      <c r="H18" s="486">
        <v>1000</v>
      </c>
      <c r="I18" s="512">
        <v>0</v>
      </c>
      <c r="J18" s="834">
        <v>0</v>
      </c>
      <c r="K18" s="1028">
        <v>0</v>
      </c>
      <c r="L18" s="962">
        <f t="shared" si="1"/>
        <v>0</v>
      </c>
      <c r="M18" s="459" t="s">
        <v>60</v>
      </c>
      <c r="N18" s="460">
        <f t="shared" si="7"/>
        <v>0</v>
      </c>
      <c r="O18" s="96"/>
    </row>
    <row r="19" spans="1:15" ht="30" customHeight="1" x14ac:dyDescent="0.2">
      <c r="A19" s="483">
        <v>6330</v>
      </c>
      <c r="B19" s="1293" t="s">
        <v>197</v>
      </c>
      <c r="C19" s="1294"/>
      <c r="D19" s="477">
        <v>0</v>
      </c>
      <c r="E19" s="500">
        <v>1016</v>
      </c>
      <c r="F19" s="477">
        <v>0</v>
      </c>
      <c r="G19" s="479">
        <v>1270</v>
      </c>
      <c r="H19" s="486">
        <v>952.5</v>
      </c>
      <c r="I19" s="512">
        <v>0</v>
      </c>
      <c r="J19" s="834">
        <v>0</v>
      </c>
      <c r="K19" s="1028">
        <v>0</v>
      </c>
      <c r="L19" s="962">
        <f t="shared" si="1"/>
        <v>0</v>
      </c>
      <c r="M19" s="459" t="s">
        <v>60</v>
      </c>
      <c r="N19" s="460">
        <f t="shared" si="7"/>
        <v>0</v>
      </c>
      <c r="O19" s="96"/>
    </row>
    <row r="20" spans="1:15" ht="20.100000000000001" customHeight="1" thickBot="1" x14ac:dyDescent="0.25">
      <c r="A20" s="483">
        <v>6409</v>
      </c>
      <c r="B20" s="1295" t="s">
        <v>271</v>
      </c>
      <c r="C20" s="1296"/>
      <c r="D20" s="477">
        <v>1016</v>
      </c>
      <c r="E20" s="500">
        <v>0</v>
      </c>
      <c r="F20" s="477">
        <v>1270</v>
      </c>
      <c r="G20" s="479">
        <v>0</v>
      </c>
      <c r="H20" s="486">
        <v>0</v>
      </c>
      <c r="I20" s="1022">
        <v>1270</v>
      </c>
      <c r="J20" s="1023">
        <v>0</v>
      </c>
      <c r="K20" s="1024">
        <v>0</v>
      </c>
      <c r="L20" s="1007">
        <f t="shared" si="1"/>
        <v>1270</v>
      </c>
      <c r="M20" s="459">
        <f t="shared" si="6"/>
        <v>100</v>
      </c>
      <c r="N20" s="460" t="s">
        <v>60</v>
      </c>
      <c r="O20" s="96"/>
    </row>
    <row r="21" spans="1:15" s="90" customFormat="1" ht="20.100000000000001" customHeight="1" thickBot="1" x14ac:dyDescent="0.25">
      <c r="A21" s="186"/>
      <c r="B21" s="1297" t="s">
        <v>85</v>
      </c>
      <c r="C21" s="1298"/>
      <c r="D21" s="181">
        <f>SUM(D9:D13)+SUM(D15:D20)</f>
        <v>77358</v>
      </c>
      <c r="E21" s="182">
        <f t="shared" ref="E21:L21" si="8">SUM(E9:E13)+SUM(E15:E20)</f>
        <v>64551.740000000005</v>
      </c>
      <c r="F21" s="615">
        <f t="shared" si="8"/>
        <v>78132</v>
      </c>
      <c r="G21" s="197">
        <f t="shared" si="8"/>
        <v>95104.859999999986</v>
      </c>
      <c r="H21" s="616">
        <f t="shared" si="8"/>
        <v>46359.420000000006</v>
      </c>
      <c r="I21" s="615">
        <f t="shared" si="8"/>
        <v>68197</v>
      </c>
      <c r="J21" s="955">
        <f t="shared" si="8"/>
        <v>5846</v>
      </c>
      <c r="K21" s="1075">
        <f t="shared" si="8"/>
        <v>1089</v>
      </c>
      <c r="L21" s="1033">
        <f t="shared" si="8"/>
        <v>75132</v>
      </c>
      <c r="M21" s="184">
        <f>L21/F21*100</f>
        <v>96.160344033174624</v>
      </c>
      <c r="N21" s="185">
        <f t="shared" si="2"/>
        <v>78.999117395262459</v>
      </c>
      <c r="O21" s="617"/>
    </row>
    <row r="22" spans="1:15" ht="15" customHeight="1" x14ac:dyDescent="0.25">
      <c r="A22" s="70"/>
      <c r="B22" s="20"/>
      <c r="C22" s="20"/>
      <c r="D22" s="168"/>
      <c r="E22" s="167"/>
      <c r="F22" s="168"/>
      <c r="G22" s="170"/>
      <c r="H22" s="170"/>
      <c r="I22" s="170"/>
      <c r="J22" s="170"/>
      <c r="K22" s="170"/>
      <c r="L22" s="170"/>
      <c r="M22" s="24"/>
      <c r="N22" s="25"/>
      <c r="O22" s="17"/>
    </row>
    <row r="23" spans="1:15" ht="15" customHeight="1" x14ac:dyDescent="0.25">
      <c r="A23" s="1"/>
      <c r="B23" s="20"/>
      <c r="C23" s="20"/>
      <c r="D23" s="167"/>
      <c r="E23" s="167"/>
      <c r="F23" s="167"/>
      <c r="G23" s="167"/>
      <c r="H23" s="167"/>
      <c r="I23" s="167"/>
      <c r="J23" s="167"/>
      <c r="K23" s="167"/>
      <c r="L23" s="167"/>
      <c r="M23" s="167"/>
      <c r="N23" s="167"/>
      <c r="O23" s="17"/>
    </row>
    <row r="24" spans="1:15" x14ac:dyDescent="0.2">
      <c r="D24" s="3"/>
      <c r="F24" s="3"/>
      <c r="L24" s="3"/>
      <c r="M24" s="1152"/>
    </row>
  </sheetData>
  <sortState xmlns:xlrd2="http://schemas.microsoft.com/office/spreadsheetml/2017/richdata2" ref="C35:O54">
    <sortCondition ref="M35:M54"/>
  </sortState>
  <mergeCells count="21">
    <mergeCell ref="A2:N2"/>
    <mergeCell ref="A6:A7"/>
    <mergeCell ref="D6:E6"/>
    <mergeCell ref="F6:H6"/>
    <mergeCell ref="I6:L6"/>
    <mergeCell ref="M6:M7"/>
    <mergeCell ref="N6:N7"/>
    <mergeCell ref="B6:C7"/>
    <mergeCell ref="B10:C10"/>
    <mergeCell ref="B9:C9"/>
    <mergeCell ref="B11:C11"/>
    <mergeCell ref="B13:C13"/>
    <mergeCell ref="B15:C15"/>
    <mergeCell ref="B12:C12"/>
    <mergeCell ref="B19:C19"/>
    <mergeCell ref="B20:C20"/>
    <mergeCell ref="B21:C21"/>
    <mergeCell ref="A13:A14"/>
    <mergeCell ref="B16:C16"/>
    <mergeCell ref="B17:C17"/>
    <mergeCell ref="B18:C18"/>
  </mergeCells>
  <printOptions horizontalCentered="1"/>
  <pageMargins left="0.59055118110236227" right="0.59055118110236227" top="0.78740157480314965" bottom="0.78740157480314965" header="0.59055118110236227" footer="0.59055118110236227"/>
  <pageSetup paperSize="9" scale="64" fitToHeight="2"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Q28"/>
  <sheetViews>
    <sheetView workbookViewId="0"/>
  </sheetViews>
  <sheetFormatPr defaultColWidth="9.140625" defaultRowHeight="12.75" x14ac:dyDescent="0.2"/>
  <cols>
    <col min="1" max="1" width="7.7109375" style="67" customWidth="1"/>
    <col min="2" max="2" width="6.7109375" style="1" customWidth="1"/>
    <col min="3" max="3" width="41.7109375" style="1" customWidth="1"/>
    <col min="4" max="4" width="14.7109375" style="2" customWidth="1"/>
    <col min="5" max="5" width="14.7109375" style="3" customWidth="1"/>
    <col min="6" max="6" width="14.7109375" style="2" customWidth="1"/>
    <col min="7" max="7" width="16.28515625" style="3" customWidth="1"/>
    <col min="8" max="9" width="14.7109375" style="3" customWidth="1"/>
    <col min="10" max="10" width="15.5703125" style="3" customWidth="1"/>
    <col min="11" max="11" width="14.7109375" style="3" customWidth="1"/>
    <col min="12" max="12" width="14.7109375" style="787" customWidth="1"/>
    <col min="13" max="14" width="9.7109375" style="5" customWidth="1"/>
    <col min="15" max="15" width="11.5703125" style="1" bestFit="1" customWidth="1"/>
    <col min="16" max="17" width="9.42578125" style="1" bestFit="1" customWidth="1"/>
    <col min="18" max="16384" width="9.140625" style="1"/>
  </cols>
  <sheetData>
    <row r="1" spans="1:17" ht="15" customHeight="1" x14ac:dyDescent="0.25">
      <c r="N1" s="6"/>
    </row>
    <row r="2" spans="1:17" ht="20.100000000000001" customHeight="1" x14ac:dyDescent="0.35">
      <c r="A2" s="1303" t="s">
        <v>508</v>
      </c>
      <c r="B2" s="1196"/>
      <c r="C2" s="1196"/>
      <c r="D2" s="1196"/>
      <c r="E2" s="1196"/>
      <c r="F2" s="1196"/>
      <c r="G2" s="1196"/>
      <c r="H2" s="1196"/>
      <c r="I2" s="1196"/>
      <c r="J2" s="1196"/>
      <c r="K2" s="1196"/>
      <c r="L2" s="1196"/>
      <c r="M2" s="1196"/>
      <c r="N2" s="1304"/>
    </row>
    <row r="3" spans="1:17" ht="15" customHeight="1" x14ac:dyDescent="0.2"/>
    <row r="4" spans="1:17" ht="20.100000000000001" customHeight="1" x14ac:dyDescent="0.25">
      <c r="A4" s="68" t="s">
        <v>239</v>
      </c>
      <c r="M4" s="8"/>
    </row>
    <row r="5" spans="1:17" ht="15" customHeight="1" thickBot="1" x14ac:dyDescent="0.3">
      <c r="A5" s="68"/>
      <c r="N5" s="8" t="s">
        <v>0</v>
      </c>
    </row>
    <row r="6" spans="1:17" s="62" customFormat="1" ht="15.9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17"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17" s="9" customFormat="1" ht="20.100000000000001" customHeight="1" thickBot="1" x14ac:dyDescent="0.3">
      <c r="A8" s="69"/>
      <c r="B8" s="10" t="s">
        <v>104</v>
      </c>
      <c r="C8" s="10"/>
      <c r="D8" s="11"/>
      <c r="E8" s="12"/>
      <c r="F8" s="11"/>
      <c r="G8" s="13"/>
      <c r="H8" s="13"/>
      <c r="I8" s="13"/>
      <c r="J8" s="13"/>
      <c r="K8" s="13"/>
      <c r="L8" s="268"/>
      <c r="M8" s="16"/>
      <c r="N8" s="16"/>
    </row>
    <row r="9" spans="1:17" s="67" customFormat="1" ht="20.100000000000001" customHeight="1" x14ac:dyDescent="0.2">
      <c r="A9" s="1326">
        <v>6172</v>
      </c>
      <c r="B9" s="1322" t="s">
        <v>105</v>
      </c>
      <c r="C9" s="1323"/>
      <c r="D9" s="472">
        <f t="shared" ref="D9:K9" si="0">SUM(D10:D18)</f>
        <v>85944</v>
      </c>
      <c r="E9" s="471">
        <f t="shared" si="0"/>
        <v>60831.199999999997</v>
      </c>
      <c r="F9" s="472">
        <f t="shared" si="0"/>
        <v>85849</v>
      </c>
      <c r="G9" s="471">
        <f t="shared" si="0"/>
        <v>88247.22</v>
      </c>
      <c r="H9" s="471">
        <f t="shared" si="0"/>
        <v>42800.55</v>
      </c>
      <c r="I9" s="472">
        <f t="shared" si="0"/>
        <v>71126</v>
      </c>
      <c r="J9" s="438">
        <f t="shared" si="0"/>
        <v>10266</v>
      </c>
      <c r="K9" s="1098">
        <f t="shared" si="0"/>
        <v>3003</v>
      </c>
      <c r="L9" s="1099">
        <f>SUM(I9:K9)</f>
        <v>84395</v>
      </c>
      <c r="M9" s="476">
        <f>L9/F9*100</f>
        <v>98.306328553623217</v>
      </c>
      <c r="N9" s="442">
        <f>L9/G9*100</f>
        <v>95.634740675117015</v>
      </c>
      <c r="O9" s="339"/>
    </row>
    <row r="10" spans="1:17" s="67" customFormat="1" ht="15" customHeight="1" x14ac:dyDescent="0.2">
      <c r="A10" s="1300"/>
      <c r="B10" s="1318" t="s">
        <v>96</v>
      </c>
      <c r="C10" s="644" t="s">
        <v>454</v>
      </c>
      <c r="D10" s="83">
        <v>43</v>
      </c>
      <c r="E10" s="359">
        <v>49.92</v>
      </c>
      <c r="F10" s="83">
        <v>43</v>
      </c>
      <c r="G10" s="414">
        <v>45</v>
      </c>
      <c r="H10" s="82">
        <v>44.74</v>
      </c>
      <c r="I10" s="83">
        <v>45</v>
      </c>
      <c r="J10" s="1014">
        <v>0</v>
      </c>
      <c r="K10" s="1061">
        <v>0</v>
      </c>
      <c r="L10" s="1011">
        <f>SUM(I10:K10)</f>
        <v>45</v>
      </c>
      <c r="M10" s="92">
        <f t="shared" ref="M10" si="1">L10/F10*100</f>
        <v>104.65116279069768</v>
      </c>
      <c r="N10" s="79">
        <f t="shared" ref="N10" si="2">L10/G10*100</f>
        <v>100</v>
      </c>
      <c r="O10" s="339"/>
    </row>
    <row r="11" spans="1:17" s="67" customFormat="1" ht="25.5" customHeight="1" x14ac:dyDescent="0.2">
      <c r="A11" s="1300"/>
      <c r="B11" s="1319"/>
      <c r="C11" s="360" t="s">
        <v>462</v>
      </c>
      <c r="D11" s="870">
        <v>0</v>
      </c>
      <c r="E11" s="871">
        <v>17.55</v>
      </c>
      <c r="F11" s="877">
        <v>0</v>
      </c>
      <c r="G11" s="414">
        <v>0</v>
      </c>
      <c r="H11" s="82">
        <v>0</v>
      </c>
      <c r="I11" s="83">
        <v>0</v>
      </c>
      <c r="J11" s="1014">
        <v>0</v>
      </c>
      <c r="K11" s="1061">
        <v>0</v>
      </c>
      <c r="L11" s="1011">
        <f t="shared" ref="L11" si="3">SUM(I11:K11)</f>
        <v>0</v>
      </c>
      <c r="M11" s="92" t="s">
        <v>60</v>
      </c>
      <c r="N11" s="79" t="s">
        <v>60</v>
      </c>
      <c r="O11" s="339"/>
    </row>
    <row r="12" spans="1:17" s="67" customFormat="1" ht="15" customHeight="1" x14ac:dyDescent="0.2">
      <c r="A12" s="1300"/>
      <c r="B12" s="1319"/>
      <c r="C12" s="644" t="s">
        <v>455</v>
      </c>
      <c r="D12" s="83">
        <v>9830</v>
      </c>
      <c r="E12" s="359">
        <v>8220.24</v>
      </c>
      <c r="F12" s="83">
        <v>12994</v>
      </c>
      <c r="G12" s="414">
        <v>9413.34</v>
      </c>
      <c r="H12" s="82">
        <v>4310.59</v>
      </c>
      <c r="I12" s="83">
        <v>10395</v>
      </c>
      <c r="J12" s="1014">
        <v>1949</v>
      </c>
      <c r="K12" s="1061">
        <v>650</v>
      </c>
      <c r="L12" s="1011">
        <f t="shared" ref="L12:L18" si="4">SUM(I12:K12)</f>
        <v>12994</v>
      </c>
      <c r="M12" s="92">
        <f t="shared" ref="M12:M18" si="5">L12/F12*100</f>
        <v>100</v>
      </c>
      <c r="N12" s="79">
        <f t="shared" ref="N12:N18" si="6">L12/G12*100</f>
        <v>138.03814586533579</v>
      </c>
      <c r="O12" s="339"/>
    </row>
    <row r="13" spans="1:17" s="67" customFormat="1" ht="15" customHeight="1" x14ac:dyDescent="0.2">
      <c r="A13" s="1300"/>
      <c r="B13" s="1319"/>
      <c r="C13" s="644" t="s">
        <v>256</v>
      </c>
      <c r="D13" s="83">
        <v>35</v>
      </c>
      <c r="E13" s="359">
        <v>1.44</v>
      </c>
      <c r="F13" s="83">
        <v>35</v>
      </c>
      <c r="G13" s="414">
        <v>35</v>
      </c>
      <c r="H13" s="82">
        <v>9.0500000000000007</v>
      </c>
      <c r="I13" s="83">
        <v>35</v>
      </c>
      <c r="J13" s="1014">
        <v>0</v>
      </c>
      <c r="K13" s="1061">
        <v>0</v>
      </c>
      <c r="L13" s="1011">
        <f t="shared" si="4"/>
        <v>35</v>
      </c>
      <c r="M13" s="92">
        <f t="shared" si="5"/>
        <v>100</v>
      </c>
      <c r="N13" s="79">
        <f t="shared" si="6"/>
        <v>100</v>
      </c>
      <c r="O13" s="339"/>
    </row>
    <row r="14" spans="1:17" s="67" customFormat="1" ht="15" customHeight="1" x14ac:dyDescent="0.2">
      <c r="A14" s="1300"/>
      <c r="B14" s="1319"/>
      <c r="C14" s="644" t="s">
        <v>456</v>
      </c>
      <c r="D14" s="83">
        <v>24712</v>
      </c>
      <c r="E14" s="359">
        <v>12978.45</v>
      </c>
      <c r="F14" s="83">
        <v>21454</v>
      </c>
      <c r="G14" s="414">
        <v>21454</v>
      </c>
      <c r="H14" s="82">
        <v>10333.44</v>
      </c>
      <c r="I14" s="83">
        <v>19258</v>
      </c>
      <c r="J14" s="1014">
        <v>637</v>
      </c>
      <c r="K14" s="1061">
        <v>105</v>
      </c>
      <c r="L14" s="1011">
        <f t="shared" si="4"/>
        <v>20000</v>
      </c>
      <c r="M14" s="92">
        <f t="shared" si="5"/>
        <v>93.222709051925051</v>
      </c>
      <c r="N14" s="79">
        <f t="shared" si="6"/>
        <v>93.222709051925051</v>
      </c>
      <c r="O14" s="790"/>
      <c r="P14" s="790"/>
      <c r="Q14" s="790"/>
    </row>
    <row r="15" spans="1:17" s="67" customFormat="1" ht="15" customHeight="1" x14ac:dyDescent="0.2">
      <c r="A15" s="1300"/>
      <c r="B15" s="1319"/>
      <c r="C15" s="644" t="s">
        <v>457</v>
      </c>
      <c r="D15" s="83">
        <v>29332</v>
      </c>
      <c r="E15" s="359">
        <v>25904.85</v>
      </c>
      <c r="F15" s="83">
        <v>27902</v>
      </c>
      <c r="G15" s="414">
        <v>37950.879999999997</v>
      </c>
      <c r="H15" s="82">
        <v>18882.47</v>
      </c>
      <c r="I15" s="83">
        <v>26629</v>
      </c>
      <c r="J15" s="1014">
        <v>4330</v>
      </c>
      <c r="K15" s="1061">
        <v>1443</v>
      </c>
      <c r="L15" s="1011">
        <f t="shared" si="4"/>
        <v>32402</v>
      </c>
      <c r="M15" s="92">
        <f t="shared" si="5"/>
        <v>116.12787613791127</v>
      </c>
      <c r="N15" s="79">
        <f t="shared" si="6"/>
        <v>85.37878436547453</v>
      </c>
      <c r="O15" s="339"/>
      <c r="P15" s="339"/>
      <c r="Q15" s="339"/>
    </row>
    <row r="16" spans="1:17" s="67" customFormat="1" ht="15" customHeight="1" x14ac:dyDescent="0.2">
      <c r="A16" s="1300"/>
      <c r="B16" s="1319"/>
      <c r="C16" s="644" t="s">
        <v>458</v>
      </c>
      <c r="D16" s="83">
        <v>20897</v>
      </c>
      <c r="E16" s="359">
        <v>12826.87</v>
      </c>
      <c r="F16" s="83">
        <v>22326</v>
      </c>
      <c r="G16" s="414">
        <v>17984</v>
      </c>
      <c r="H16" s="82">
        <v>8257.2000000000007</v>
      </c>
      <c r="I16" s="83">
        <v>13729</v>
      </c>
      <c r="J16" s="1014">
        <v>3300</v>
      </c>
      <c r="K16" s="1061">
        <v>795</v>
      </c>
      <c r="L16" s="1011">
        <f t="shared" si="4"/>
        <v>17824</v>
      </c>
      <c r="M16" s="92">
        <f t="shared" si="5"/>
        <v>79.835169757233714</v>
      </c>
      <c r="N16" s="79">
        <f t="shared" si="6"/>
        <v>99.110320284697508</v>
      </c>
      <c r="O16" s="339"/>
    </row>
    <row r="17" spans="1:15" s="67" customFormat="1" ht="27" customHeight="1" x14ac:dyDescent="0.2">
      <c r="A17" s="1300"/>
      <c r="B17" s="1319"/>
      <c r="C17" s="638" t="s">
        <v>317</v>
      </c>
      <c r="D17" s="83">
        <v>210</v>
      </c>
      <c r="E17" s="359">
        <v>0</v>
      </c>
      <c r="F17" s="83">
        <v>210</v>
      </c>
      <c r="G17" s="414">
        <v>210</v>
      </c>
      <c r="H17" s="82">
        <v>277.45</v>
      </c>
      <c r="I17" s="83">
        <v>150</v>
      </c>
      <c r="J17" s="1014">
        <v>50</v>
      </c>
      <c r="K17" s="1061">
        <v>10</v>
      </c>
      <c r="L17" s="1011">
        <f t="shared" si="4"/>
        <v>210</v>
      </c>
      <c r="M17" s="92">
        <f t="shared" si="5"/>
        <v>100</v>
      </c>
      <c r="N17" s="79">
        <f t="shared" si="6"/>
        <v>100</v>
      </c>
      <c r="O17" s="339"/>
    </row>
    <row r="18" spans="1:15" s="67" customFormat="1" ht="27" customHeight="1" x14ac:dyDescent="0.2">
      <c r="A18" s="1300"/>
      <c r="B18" s="1319"/>
      <c r="C18" s="638" t="s">
        <v>257</v>
      </c>
      <c r="D18" s="83">
        <v>885</v>
      </c>
      <c r="E18" s="359">
        <v>831.88</v>
      </c>
      <c r="F18" s="83">
        <v>885</v>
      </c>
      <c r="G18" s="414">
        <v>1155</v>
      </c>
      <c r="H18" s="82">
        <v>685.61</v>
      </c>
      <c r="I18" s="83">
        <v>885</v>
      </c>
      <c r="J18" s="1014">
        <v>0</v>
      </c>
      <c r="K18" s="1061">
        <v>0</v>
      </c>
      <c r="L18" s="1011">
        <f t="shared" si="4"/>
        <v>885</v>
      </c>
      <c r="M18" s="92">
        <f t="shared" si="5"/>
        <v>100</v>
      </c>
      <c r="N18" s="79">
        <f t="shared" si="6"/>
        <v>76.623376623376629</v>
      </c>
      <c r="O18" s="339"/>
    </row>
    <row r="19" spans="1:15" s="67" customFormat="1" ht="15" customHeight="1" x14ac:dyDescent="0.2">
      <c r="A19" s="1300"/>
      <c r="B19" s="1327" t="s">
        <v>96</v>
      </c>
      <c r="C19" s="638" t="s">
        <v>148</v>
      </c>
      <c r="D19" s="80">
        <v>20897</v>
      </c>
      <c r="E19" s="93">
        <v>8741.68</v>
      </c>
      <c r="F19" s="83">
        <v>17489</v>
      </c>
      <c r="G19" s="414">
        <v>13147</v>
      </c>
      <c r="H19" s="82">
        <v>5798.23</v>
      </c>
      <c r="I19" s="83">
        <v>12037</v>
      </c>
      <c r="J19" s="1014">
        <v>600</v>
      </c>
      <c r="K19" s="1061">
        <v>350</v>
      </c>
      <c r="L19" s="1011">
        <f t="shared" ref="L19:L21" si="7">SUM(I19:K19)</f>
        <v>12987</v>
      </c>
      <c r="M19" s="92">
        <f t="shared" ref="M19" si="8">L19/F19*100</f>
        <v>74.258105094630906</v>
      </c>
      <c r="N19" s="79">
        <f t="shared" ref="N19" si="9">L19/G19*100</f>
        <v>98.782992317639014</v>
      </c>
    </row>
    <row r="20" spans="1:15" s="67" customFormat="1" ht="15" customHeight="1" x14ac:dyDescent="0.2">
      <c r="A20" s="1321"/>
      <c r="B20" s="1328"/>
      <c r="C20" s="795" t="s">
        <v>416</v>
      </c>
      <c r="D20" s="83">
        <v>17260</v>
      </c>
      <c r="E20" s="82">
        <v>9201.91</v>
      </c>
      <c r="F20" s="83">
        <v>14002</v>
      </c>
      <c r="G20" s="414">
        <v>14002</v>
      </c>
      <c r="H20" s="95">
        <v>7667.8</v>
      </c>
      <c r="I20" s="1008">
        <v>14002</v>
      </c>
      <c r="J20" s="1009">
        <v>0</v>
      </c>
      <c r="K20" s="1015">
        <v>0</v>
      </c>
      <c r="L20" s="1011">
        <f t="shared" ref="L20" si="10">SUM(I20:K20)</f>
        <v>14002</v>
      </c>
      <c r="M20" s="92">
        <f t="shared" ref="M20" si="11">L20/F20*100</f>
        <v>100</v>
      </c>
      <c r="N20" s="79">
        <f t="shared" ref="N20" si="12">L20/G20*100</f>
        <v>100</v>
      </c>
    </row>
    <row r="21" spans="1:15" s="67" customFormat="1" ht="18.75" customHeight="1" x14ac:dyDescent="0.2">
      <c r="A21" s="1300">
        <v>6223</v>
      </c>
      <c r="B21" s="1324" t="s">
        <v>518</v>
      </c>
      <c r="C21" s="1325"/>
      <c r="D21" s="445">
        <f t="shared" ref="D21:K21" si="13">SUM(D22:D24)</f>
        <v>760</v>
      </c>
      <c r="E21" s="559">
        <f t="shared" si="13"/>
        <v>230.26999999999998</v>
      </c>
      <c r="F21" s="897">
        <f t="shared" si="13"/>
        <v>760</v>
      </c>
      <c r="G21" s="564">
        <f t="shared" si="13"/>
        <v>760</v>
      </c>
      <c r="H21" s="449">
        <f t="shared" si="13"/>
        <v>216.36</v>
      </c>
      <c r="I21" s="897">
        <f t="shared" si="13"/>
        <v>760</v>
      </c>
      <c r="J21" s="513">
        <f t="shared" si="13"/>
        <v>0</v>
      </c>
      <c r="K21" s="1006">
        <f t="shared" si="13"/>
        <v>0</v>
      </c>
      <c r="L21" s="1020">
        <f t="shared" si="7"/>
        <v>760</v>
      </c>
      <c r="M21" s="474">
        <f t="shared" ref="M21:M24" si="14">L21/F21*100</f>
        <v>100</v>
      </c>
      <c r="N21" s="475">
        <f t="shared" ref="N21:N24" si="15">L21/G21*100</f>
        <v>100</v>
      </c>
    </row>
    <row r="22" spans="1:15" s="960" customFormat="1" x14ac:dyDescent="0.2">
      <c r="A22" s="1300"/>
      <c r="B22" s="1318" t="s">
        <v>96</v>
      </c>
      <c r="C22" s="644" t="s">
        <v>457</v>
      </c>
      <c r="D22" s="83">
        <v>10</v>
      </c>
      <c r="E22" s="93">
        <v>5.51</v>
      </c>
      <c r="F22" s="83">
        <v>10</v>
      </c>
      <c r="G22" s="414">
        <v>20</v>
      </c>
      <c r="H22" s="844">
        <v>4.71</v>
      </c>
      <c r="I22" s="1012">
        <v>20</v>
      </c>
      <c r="J22" s="1100">
        <v>0</v>
      </c>
      <c r="K22" s="1101">
        <v>0</v>
      </c>
      <c r="L22" s="1011">
        <f>SUM(I22:K22)</f>
        <v>20</v>
      </c>
      <c r="M22" s="92">
        <f>L22/F22*100</f>
        <v>200</v>
      </c>
      <c r="N22" s="79">
        <f>L22/G22*100</f>
        <v>100</v>
      </c>
    </row>
    <row r="23" spans="1:15" s="67" customFormat="1" x14ac:dyDescent="0.2">
      <c r="A23" s="1300"/>
      <c r="B23" s="1319"/>
      <c r="C23" s="644" t="s">
        <v>458</v>
      </c>
      <c r="D23" s="83">
        <v>740</v>
      </c>
      <c r="E23" s="93">
        <v>224.76</v>
      </c>
      <c r="F23" s="83">
        <v>740</v>
      </c>
      <c r="G23" s="414">
        <v>730</v>
      </c>
      <c r="H23" s="844">
        <v>211.65</v>
      </c>
      <c r="I23" s="872">
        <v>730</v>
      </c>
      <c r="J23" s="1063">
        <v>0</v>
      </c>
      <c r="K23" s="1018">
        <v>0</v>
      </c>
      <c r="L23" s="1011">
        <f>SUM(I23:K23)</f>
        <v>730</v>
      </c>
      <c r="M23" s="92">
        <f t="shared" si="14"/>
        <v>98.648648648648646</v>
      </c>
      <c r="N23" s="79">
        <f t="shared" si="15"/>
        <v>100</v>
      </c>
    </row>
    <row r="24" spans="1:15" s="67" customFormat="1" ht="27" customHeight="1" thickBot="1" x14ac:dyDescent="0.25">
      <c r="A24" s="1321"/>
      <c r="B24" s="1320"/>
      <c r="C24" s="638" t="s">
        <v>317</v>
      </c>
      <c r="D24" s="83">
        <v>10</v>
      </c>
      <c r="E24" s="93">
        <v>0</v>
      </c>
      <c r="F24" s="83">
        <v>10</v>
      </c>
      <c r="G24" s="414">
        <v>10</v>
      </c>
      <c r="H24" s="844">
        <v>0</v>
      </c>
      <c r="I24" s="872">
        <v>10</v>
      </c>
      <c r="J24" s="1063">
        <v>0</v>
      </c>
      <c r="K24" s="1102">
        <v>0</v>
      </c>
      <c r="L24" s="1011">
        <f>SUM(I24:K24)</f>
        <v>10</v>
      </c>
      <c r="M24" s="92">
        <f t="shared" si="14"/>
        <v>100</v>
      </c>
      <c r="N24" s="79">
        <f t="shared" si="15"/>
        <v>100</v>
      </c>
    </row>
    <row r="25" spans="1:15" s="67" customFormat="1" ht="20.100000000000001" customHeight="1" thickBot="1" x14ac:dyDescent="0.25">
      <c r="A25" s="186"/>
      <c r="B25" s="1297" t="s">
        <v>85</v>
      </c>
      <c r="C25" s="1298"/>
      <c r="D25" s="181">
        <f t="shared" ref="D25:L25" si="16">+D9+D21</f>
        <v>86704</v>
      </c>
      <c r="E25" s="182">
        <f t="shared" si="16"/>
        <v>61061.469999999994</v>
      </c>
      <c r="F25" s="181">
        <f t="shared" si="16"/>
        <v>86609</v>
      </c>
      <c r="G25" s="183">
        <f t="shared" si="16"/>
        <v>89007.22</v>
      </c>
      <c r="H25" s="182">
        <f t="shared" si="16"/>
        <v>43016.91</v>
      </c>
      <c r="I25" s="181">
        <f t="shared" si="16"/>
        <v>71886</v>
      </c>
      <c r="J25" s="956">
        <f t="shared" si="16"/>
        <v>10266</v>
      </c>
      <c r="K25" s="191">
        <f t="shared" si="16"/>
        <v>3003</v>
      </c>
      <c r="L25" s="981">
        <f t="shared" si="16"/>
        <v>85155</v>
      </c>
      <c r="M25" s="184">
        <f>L25/F25*100</f>
        <v>98.321190638386312</v>
      </c>
      <c r="N25" s="185">
        <f>L25/G25*100</f>
        <v>95.67201402313205</v>
      </c>
    </row>
    <row r="26" spans="1:15" ht="15" x14ac:dyDescent="0.25">
      <c r="A26" s="70"/>
      <c r="B26" s="20"/>
      <c r="C26" s="20"/>
      <c r="D26" s="168"/>
      <c r="E26" s="167"/>
      <c r="F26" s="168"/>
      <c r="G26" s="170"/>
      <c r="H26" s="170"/>
      <c r="I26" s="170"/>
      <c r="J26" s="170"/>
      <c r="K26" s="170"/>
      <c r="L26" s="170"/>
      <c r="M26" s="24"/>
      <c r="N26" s="25"/>
    </row>
    <row r="27" spans="1:15" ht="15" x14ac:dyDescent="0.25">
      <c r="A27" s="70"/>
      <c r="B27" s="20"/>
      <c r="C27" s="20"/>
      <c r="D27" s="167"/>
      <c r="E27" s="167"/>
      <c r="F27" s="167"/>
      <c r="G27" s="167"/>
      <c r="H27" s="167"/>
      <c r="I27" s="167"/>
      <c r="J27" s="167"/>
      <c r="K27" s="167"/>
      <c r="L27" s="167"/>
      <c r="M27" s="24"/>
      <c r="N27" s="25"/>
    </row>
    <row r="28" spans="1:15" x14ac:dyDescent="0.2">
      <c r="A28" s="71"/>
      <c r="D28" s="3"/>
      <c r="F28" s="3"/>
      <c r="L28" s="3"/>
      <c r="M28" s="1152"/>
    </row>
  </sheetData>
  <mergeCells count="16">
    <mergeCell ref="A2:N2"/>
    <mergeCell ref="A6:A7"/>
    <mergeCell ref="D6:E6"/>
    <mergeCell ref="F6:H6"/>
    <mergeCell ref="I6:L6"/>
    <mergeCell ref="M6:M7"/>
    <mergeCell ref="N6:N7"/>
    <mergeCell ref="B6:C7"/>
    <mergeCell ref="B25:C25"/>
    <mergeCell ref="B22:B24"/>
    <mergeCell ref="A21:A24"/>
    <mergeCell ref="B9:C9"/>
    <mergeCell ref="B21:C21"/>
    <mergeCell ref="B10:B18"/>
    <mergeCell ref="A9:A20"/>
    <mergeCell ref="B19:B20"/>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15"/>
  <sheetViews>
    <sheetView workbookViewId="0"/>
  </sheetViews>
  <sheetFormatPr defaultRowHeight="12.75" x14ac:dyDescent="0.2"/>
  <cols>
    <col min="1" max="1" width="7.7109375" style="1" customWidth="1"/>
    <col min="2" max="2" width="6.7109375" style="1" customWidth="1"/>
    <col min="3" max="3" width="41.7109375" style="1" customWidth="1"/>
    <col min="4" max="4" width="14.7109375" style="2" customWidth="1"/>
    <col min="5" max="5" width="13.7109375" style="3" customWidth="1"/>
    <col min="6" max="6" width="14.7109375" style="2" customWidth="1"/>
    <col min="7" max="7" width="16.28515625" style="3" customWidth="1"/>
    <col min="8" max="9" width="14.7109375" style="3" customWidth="1"/>
    <col min="10" max="10" width="16" style="3" customWidth="1"/>
    <col min="11" max="11" width="14.7109375" style="3" customWidth="1"/>
    <col min="12" max="12" width="14.7109375" style="787" customWidth="1"/>
    <col min="13" max="14" width="9.7109375" style="5" customWidth="1"/>
    <col min="15" max="15" width="12.140625" style="1" customWidth="1"/>
    <col min="16" max="257" width="9.140625" style="1"/>
    <col min="258" max="258" width="6.7109375" style="1" customWidth="1"/>
    <col min="259" max="259" width="39.85546875" style="1" customWidth="1"/>
    <col min="260" max="260" width="12.5703125" style="1" customWidth="1"/>
    <col min="261" max="262" width="13" style="1" customWidth="1"/>
    <col min="263" max="263" width="14" style="1" customWidth="1"/>
    <col min="264" max="264" width="12" style="1" customWidth="1"/>
    <col min="265" max="265" width="14.7109375" style="1" customWidth="1"/>
    <col min="266" max="266" width="13.140625" style="1" customWidth="1"/>
    <col min="267" max="267" width="11.7109375" style="1" customWidth="1"/>
    <col min="268" max="268" width="12.7109375" style="1" customWidth="1"/>
    <col min="269" max="270" width="7.42578125" style="1" customWidth="1"/>
    <col min="271" max="513" width="9.140625" style="1"/>
    <col min="514" max="514" width="6.7109375" style="1" customWidth="1"/>
    <col min="515" max="515" width="39.85546875" style="1" customWidth="1"/>
    <col min="516" max="516" width="12.5703125" style="1" customWidth="1"/>
    <col min="517" max="518" width="13" style="1" customWidth="1"/>
    <col min="519" max="519" width="14" style="1" customWidth="1"/>
    <col min="520" max="520" width="12" style="1" customWidth="1"/>
    <col min="521" max="521" width="14.7109375" style="1" customWidth="1"/>
    <col min="522" max="522" width="13.140625" style="1" customWidth="1"/>
    <col min="523" max="523" width="11.7109375" style="1" customWidth="1"/>
    <col min="524" max="524" width="12.7109375" style="1" customWidth="1"/>
    <col min="525" max="526" width="7.42578125" style="1" customWidth="1"/>
    <col min="527" max="769" width="9.140625" style="1"/>
    <col min="770" max="770" width="6.7109375" style="1" customWidth="1"/>
    <col min="771" max="771" width="39.85546875" style="1" customWidth="1"/>
    <col min="772" max="772" width="12.5703125" style="1" customWidth="1"/>
    <col min="773" max="774" width="13" style="1" customWidth="1"/>
    <col min="775" max="775" width="14" style="1" customWidth="1"/>
    <col min="776" max="776" width="12" style="1" customWidth="1"/>
    <col min="777" max="777" width="14.7109375" style="1" customWidth="1"/>
    <col min="778" max="778" width="13.140625" style="1" customWidth="1"/>
    <col min="779" max="779" width="11.7109375" style="1" customWidth="1"/>
    <col min="780" max="780" width="12.7109375" style="1" customWidth="1"/>
    <col min="781" max="782" width="7.42578125" style="1" customWidth="1"/>
    <col min="783" max="1025" width="9.140625" style="1"/>
    <col min="1026" max="1026" width="6.7109375" style="1" customWidth="1"/>
    <col min="1027" max="1027" width="39.85546875" style="1" customWidth="1"/>
    <col min="1028" max="1028" width="12.5703125" style="1" customWidth="1"/>
    <col min="1029" max="1030" width="13" style="1" customWidth="1"/>
    <col min="1031" max="1031" width="14" style="1" customWidth="1"/>
    <col min="1032" max="1032" width="12" style="1" customWidth="1"/>
    <col min="1033" max="1033" width="14.7109375" style="1" customWidth="1"/>
    <col min="1034" max="1034" width="13.140625" style="1" customWidth="1"/>
    <col min="1035" max="1035" width="11.7109375" style="1" customWidth="1"/>
    <col min="1036" max="1036" width="12.7109375" style="1" customWidth="1"/>
    <col min="1037" max="1038" width="7.42578125" style="1" customWidth="1"/>
    <col min="1039" max="1281" width="9.140625" style="1"/>
    <col min="1282" max="1282" width="6.7109375" style="1" customWidth="1"/>
    <col min="1283" max="1283" width="39.85546875" style="1" customWidth="1"/>
    <col min="1284" max="1284" width="12.5703125" style="1" customWidth="1"/>
    <col min="1285" max="1286" width="13" style="1" customWidth="1"/>
    <col min="1287" max="1287" width="14" style="1" customWidth="1"/>
    <col min="1288" max="1288" width="12" style="1" customWidth="1"/>
    <col min="1289" max="1289" width="14.7109375" style="1" customWidth="1"/>
    <col min="1290" max="1290" width="13.140625" style="1" customWidth="1"/>
    <col min="1291" max="1291" width="11.7109375" style="1" customWidth="1"/>
    <col min="1292" max="1292" width="12.7109375" style="1" customWidth="1"/>
    <col min="1293" max="1294" width="7.42578125" style="1" customWidth="1"/>
    <col min="1295" max="1537" width="9.140625" style="1"/>
    <col min="1538" max="1538" width="6.7109375" style="1" customWidth="1"/>
    <col min="1539" max="1539" width="39.85546875" style="1" customWidth="1"/>
    <col min="1540" max="1540" width="12.5703125" style="1" customWidth="1"/>
    <col min="1541" max="1542" width="13" style="1" customWidth="1"/>
    <col min="1543" max="1543" width="14" style="1" customWidth="1"/>
    <col min="1544" max="1544" width="12" style="1" customWidth="1"/>
    <col min="1545" max="1545" width="14.7109375" style="1" customWidth="1"/>
    <col min="1546" max="1546" width="13.140625" style="1" customWidth="1"/>
    <col min="1547" max="1547" width="11.7109375" style="1" customWidth="1"/>
    <col min="1548" max="1548" width="12.7109375" style="1" customWidth="1"/>
    <col min="1549" max="1550" width="7.42578125" style="1" customWidth="1"/>
    <col min="1551" max="1793" width="9.140625" style="1"/>
    <col min="1794" max="1794" width="6.7109375" style="1" customWidth="1"/>
    <col min="1795" max="1795" width="39.85546875" style="1" customWidth="1"/>
    <col min="1796" max="1796" width="12.5703125" style="1" customWidth="1"/>
    <col min="1797" max="1798" width="13" style="1" customWidth="1"/>
    <col min="1799" max="1799" width="14" style="1" customWidth="1"/>
    <col min="1800" max="1800" width="12" style="1" customWidth="1"/>
    <col min="1801" max="1801" width="14.7109375" style="1" customWidth="1"/>
    <col min="1802" max="1802" width="13.140625" style="1" customWidth="1"/>
    <col min="1803" max="1803" width="11.7109375" style="1" customWidth="1"/>
    <col min="1804" max="1804" width="12.7109375" style="1" customWidth="1"/>
    <col min="1805" max="1806" width="7.42578125" style="1" customWidth="1"/>
    <col min="1807" max="2049" width="9.140625" style="1"/>
    <col min="2050" max="2050" width="6.7109375" style="1" customWidth="1"/>
    <col min="2051" max="2051" width="39.85546875" style="1" customWidth="1"/>
    <col min="2052" max="2052" width="12.5703125" style="1" customWidth="1"/>
    <col min="2053" max="2054" width="13" style="1" customWidth="1"/>
    <col min="2055" max="2055" width="14" style="1" customWidth="1"/>
    <col min="2056" max="2056" width="12" style="1" customWidth="1"/>
    <col min="2057" max="2057" width="14.7109375" style="1" customWidth="1"/>
    <col min="2058" max="2058" width="13.140625" style="1" customWidth="1"/>
    <col min="2059" max="2059" width="11.7109375" style="1" customWidth="1"/>
    <col min="2060" max="2060" width="12.7109375" style="1" customWidth="1"/>
    <col min="2061" max="2062" width="7.42578125" style="1" customWidth="1"/>
    <col min="2063" max="2305" width="9.140625" style="1"/>
    <col min="2306" max="2306" width="6.7109375" style="1" customWidth="1"/>
    <col min="2307" max="2307" width="39.85546875" style="1" customWidth="1"/>
    <col min="2308" max="2308" width="12.5703125" style="1" customWidth="1"/>
    <col min="2309" max="2310" width="13" style="1" customWidth="1"/>
    <col min="2311" max="2311" width="14" style="1" customWidth="1"/>
    <col min="2312" max="2312" width="12" style="1" customWidth="1"/>
    <col min="2313" max="2313" width="14.7109375" style="1" customWidth="1"/>
    <col min="2314" max="2314" width="13.140625" style="1" customWidth="1"/>
    <col min="2315" max="2315" width="11.7109375" style="1" customWidth="1"/>
    <col min="2316" max="2316" width="12.7109375" style="1" customWidth="1"/>
    <col min="2317" max="2318" width="7.42578125" style="1" customWidth="1"/>
    <col min="2319" max="2561" width="9.140625" style="1"/>
    <col min="2562" max="2562" width="6.7109375" style="1" customWidth="1"/>
    <col min="2563" max="2563" width="39.85546875" style="1" customWidth="1"/>
    <col min="2564" max="2564" width="12.5703125" style="1" customWidth="1"/>
    <col min="2565" max="2566" width="13" style="1" customWidth="1"/>
    <col min="2567" max="2567" width="14" style="1" customWidth="1"/>
    <col min="2568" max="2568" width="12" style="1" customWidth="1"/>
    <col min="2569" max="2569" width="14.7109375" style="1" customWidth="1"/>
    <col min="2570" max="2570" width="13.140625" style="1" customWidth="1"/>
    <col min="2571" max="2571" width="11.7109375" style="1" customWidth="1"/>
    <col min="2572" max="2572" width="12.7109375" style="1" customWidth="1"/>
    <col min="2573" max="2574" width="7.42578125" style="1" customWidth="1"/>
    <col min="2575" max="2817" width="9.140625" style="1"/>
    <col min="2818" max="2818" width="6.7109375" style="1" customWidth="1"/>
    <col min="2819" max="2819" width="39.85546875" style="1" customWidth="1"/>
    <col min="2820" max="2820" width="12.5703125" style="1" customWidth="1"/>
    <col min="2821" max="2822" width="13" style="1" customWidth="1"/>
    <col min="2823" max="2823" width="14" style="1" customWidth="1"/>
    <col min="2824" max="2824" width="12" style="1" customWidth="1"/>
    <col min="2825" max="2825" width="14.7109375" style="1" customWidth="1"/>
    <col min="2826" max="2826" width="13.140625" style="1" customWidth="1"/>
    <col min="2827" max="2827" width="11.7109375" style="1" customWidth="1"/>
    <col min="2828" max="2828" width="12.7109375" style="1" customWidth="1"/>
    <col min="2829" max="2830" width="7.42578125" style="1" customWidth="1"/>
    <col min="2831" max="3073" width="9.140625" style="1"/>
    <col min="3074" max="3074" width="6.7109375" style="1" customWidth="1"/>
    <col min="3075" max="3075" width="39.85546875" style="1" customWidth="1"/>
    <col min="3076" max="3076" width="12.5703125" style="1" customWidth="1"/>
    <col min="3077" max="3078" width="13" style="1" customWidth="1"/>
    <col min="3079" max="3079" width="14" style="1" customWidth="1"/>
    <col min="3080" max="3080" width="12" style="1" customWidth="1"/>
    <col min="3081" max="3081" width="14.7109375" style="1" customWidth="1"/>
    <col min="3082" max="3082" width="13.140625" style="1" customWidth="1"/>
    <col min="3083" max="3083" width="11.7109375" style="1" customWidth="1"/>
    <col min="3084" max="3084" width="12.7109375" style="1" customWidth="1"/>
    <col min="3085" max="3086" width="7.42578125" style="1" customWidth="1"/>
    <col min="3087" max="3329" width="9.140625" style="1"/>
    <col min="3330" max="3330" width="6.7109375" style="1" customWidth="1"/>
    <col min="3331" max="3331" width="39.85546875" style="1" customWidth="1"/>
    <col min="3332" max="3332" width="12.5703125" style="1" customWidth="1"/>
    <col min="3333" max="3334" width="13" style="1" customWidth="1"/>
    <col min="3335" max="3335" width="14" style="1" customWidth="1"/>
    <col min="3336" max="3336" width="12" style="1" customWidth="1"/>
    <col min="3337" max="3337" width="14.7109375" style="1" customWidth="1"/>
    <col min="3338" max="3338" width="13.140625" style="1" customWidth="1"/>
    <col min="3339" max="3339" width="11.7109375" style="1" customWidth="1"/>
    <col min="3340" max="3340" width="12.7109375" style="1" customWidth="1"/>
    <col min="3341" max="3342" width="7.42578125" style="1" customWidth="1"/>
    <col min="3343" max="3585" width="9.140625" style="1"/>
    <col min="3586" max="3586" width="6.7109375" style="1" customWidth="1"/>
    <col min="3587" max="3587" width="39.85546875" style="1" customWidth="1"/>
    <col min="3588" max="3588" width="12.5703125" style="1" customWidth="1"/>
    <col min="3589" max="3590" width="13" style="1" customWidth="1"/>
    <col min="3591" max="3591" width="14" style="1" customWidth="1"/>
    <col min="3592" max="3592" width="12" style="1" customWidth="1"/>
    <col min="3593" max="3593" width="14.7109375" style="1" customWidth="1"/>
    <col min="3594" max="3594" width="13.140625" style="1" customWidth="1"/>
    <col min="3595" max="3595" width="11.7109375" style="1" customWidth="1"/>
    <col min="3596" max="3596" width="12.7109375" style="1" customWidth="1"/>
    <col min="3597" max="3598" width="7.42578125" style="1" customWidth="1"/>
    <col min="3599" max="3841" width="9.140625" style="1"/>
    <col min="3842" max="3842" width="6.7109375" style="1" customWidth="1"/>
    <col min="3843" max="3843" width="39.85546875" style="1" customWidth="1"/>
    <col min="3844" max="3844" width="12.5703125" style="1" customWidth="1"/>
    <col min="3845" max="3846" width="13" style="1" customWidth="1"/>
    <col min="3847" max="3847" width="14" style="1" customWidth="1"/>
    <col min="3848" max="3848" width="12" style="1" customWidth="1"/>
    <col min="3849" max="3849" width="14.7109375" style="1" customWidth="1"/>
    <col min="3850" max="3850" width="13.140625" style="1" customWidth="1"/>
    <col min="3851" max="3851" width="11.7109375" style="1" customWidth="1"/>
    <col min="3852" max="3852" width="12.7109375" style="1" customWidth="1"/>
    <col min="3853" max="3854" width="7.42578125" style="1" customWidth="1"/>
    <col min="3855" max="4097" width="9.140625" style="1"/>
    <col min="4098" max="4098" width="6.7109375" style="1" customWidth="1"/>
    <col min="4099" max="4099" width="39.85546875" style="1" customWidth="1"/>
    <col min="4100" max="4100" width="12.5703125" style="1" customWidth="1"/>
    <col min="4101" max="4102" width="13" style="1" customWidth="1"/>
    <col min="4103" max="4103" width="14" style="1" customWidth="1"/>
    <col min="4104" max="4104" width="12" style="1" customWidth="1"/>
    <col min="4105" max="4105" width="14.7109375" style="1" customWidth="1"/>
    <col min="4106" max="4106" width="13.140625" style="1" customWidth="1"/>
    <col min="4107" max="4107" width="11.7109375" style="1" customWidth="1"/>
    <col min="4108" max="4108" width="12.7109375" style="1" customWidth="1"/>
    <col min="4109" max="4110" width="7.42578125" style="1" customWidth="1"/>
    <col min="4111" max="4353" width="9.140625" style="1"/>
    <col min="4354" max="4354" width="6.7109375" style="1" customWidth="1"/>
    <col min="4355" max="4355" width="39.85546875" style="1" customWidth="1"/>
    <col min="4356" max="4356" width="12.5703125" style="1" customWidth="1"/>
    <col min="4357" max="4358" width="13" style="1" customWidth="1"/>
    <col min="4359" max="4359" width="14" style="1" customWidth="1"/>
    <col min="4360" max="4360" width="12" style="1" customWidth="1"/>
    <col min="4361" max="4361" width="14.7109375" style="1" customWidth="1"/>
    <col min="4362" max="4362" width="13.140625" style="1" customWidth="1"/>
    <col min="4363" max="4363" width="11.7109375" style="1" customWidth="1"/>
    <col min="4364" max="4364" width="12.7109375" style="1" customWidth="1"/>
    <col min="4365" max="4366" width="7.42578125" style="1" customWidth="1"/>
    <col min="4367" max="4609" width="9.140625" style="1"/>
    <col min="4610" max="4610" width="6.7109375" style="1" customWidth="1"/>
    <col min="4611" max="4611" width="39.85546875" style="1" customWidth="1"/>
    <col min="4612" max="4612" width="12.5703125" style="1" customWidth="1"/>
    <col min="4613" max="4614" width="13" style="1" customWidth="1"/>
    <col min="4615" max="4615" width="14" style="1" customWidth="1"/>
    <col min="4616" max="4616" width="12" style="1" customWidth="1"/>
    <col min="4617" max="4617" width="14.7109375" style="1" customWidth="1"/>
    <col min="4618" max="4618" width="13.140625" style="1" customWidth="1"/>
    <col min="4619" max="4619" width="11.7109375" style="1" customWidth="1"/>
    <col min="4620" max="4620" width="12.7109375" style="1" customWidth="1"/>
    <col min="4621" max="4622" width="7.42578125" style="1" customWidth="1"/>
    <col min="4623" max="4865" width="9.140625" style="1"/>
    <col min="4866" max="4866" width="6.7109375" style="1" customWidth="1"/>
    <col min="4867" max="4867" width="39.85546875" style="1" customWidth="1"/>
    <col min="4868" max="4868" width="12.5703125" style="1" customWidth="1"/>
    <col min="4869" max="4870" width="13" style="1" customWidth="1"/>
    <col min="4871" max="4871" width="14" style="1" customWidth="1"/>
    <col min="4872" max="4872" width="12" style="1" customWidth="1"/>
    <col min="4873" max="4873" width="14.7109375" style="1" customWidth="1"/>
    <col min="4874" max="4874" width="13.140625" style="1" customWidth="1"/>
    <col min="4875" max="4875" width="11.7109375" style="1" customWidth="1"/>
    <col min="4876" max="4876" width="12.7109375" style="1" customWidth="1"/>
    <col min="4877" max="4878" width="7.42578125" style="1" customWidth="1"/>
    <col min="4879" max="5121" width="9.140625" style="1"/>
    <col min="5122" max="5122" width="6.7109375" style="1" customWidth="1"/>
    <col min="5123" max="5123" width="39.85546875" style="1" customWidth="1"/>
    <col min="5124" max="5124" width="12.5703125" style="1" customWidth="1"/>
    <col min="5125" max="5126" width="13" style="1" customWidth="1"/>
    <col min="5127" max="5127" width="14" style="1" customWidth="1"/>
    <col min="5128" max="5128" width="12" style="1" customWidth="1"/>
    <col min="5129" max="5129" width="14.7109375" style="1" customWidth="1"/>
    <col min="5130" max="5130" width="13.140625" style="1" customWidth="1"/>
    <col min="5131" max="5131" width="11.7109375" style="1" customWidth="1"/>
    <col min="5132" max="5132" width="12.7109375" style="1" customWidth="1"/>
    <col min="5133" max="5134" width="7.42578125" style="1" customWidth="1"/>
    <col min="5135" max="5377" width="9.140625" style="1"/>
    <col min="5378" max="5378" width="6.7109375" style="1" customWidth="1"/>
    <col min="5379" max="5379" width="39.85546875" style="1" customWidth="1"/>
    <col min="5380" max="5380" width="12.5703125" style="1" customWidth="1"/>
    <col min="5381" max="5382" width="13" style="1" customWidth="1"/>
    <col min="5383" max="5383" width="14" style="1" customWidth="1"/>
    <col min="5384" max="5384" width="12" style="1" customWidth="1"/>
    <col min="5385" max="5385" width="14.7109375" style="1" customWidth="1"/>
    <col min="5386" max="5386" width="13.140625" style="1" customWidth="1"/>
    <col min="5387" max="5387" width="11.7109375" style="1" customWidth="1"/>
    <col min="5388" max="5388" width="12.7109375" style="1" customWidth="1"/>
    <col min="5389" max="5390" width="7.42578125" style="1" customWidth="1"/>
    <col min="5391" max="5633" width="9.140625" style="1"/>
    <col min="5634" max="5634" width="6.7109375" style="1" customWidth="1"/>
    <col min="5635" max="5635" width="39.85546875" style="1" customWidth="1"/>
    <col min="5636" max="5636" width="12.5703125" style="1" customWidth="1"/>
    <col min="5637" max="5638" width="13" style="1" customWidth="1"/>
    <col min="5639" max="5639" width="14" style="1" customWidth="1"/>
    <col min="5640" max="5640" width="12" style="1" customWidth="1"/>
    <col min="5641" max="5641" width="14.7109375" style="1" customWidth="1"/>
    <col min="5642" max="5642" width="13.140625" style="1" customWidth="1"/>
    <col min="5643" max="5643" width="11.7109375" style="1" customWidth="1"/>
    <col min="5644" max="5644" width="12.7109375" style="1" customWidth="1"/>
    <col min="5645" max="5646" width="7.42578125" style="1" customWidth="1"/>
    <col min="5647" max="5889" width="9.140625" style="1"/>
    <col min="5890" max="5890" width="6.7109375" style="1" customWidth="1"/>
    <col min="5891" max="5891" width="39.85546875" style="1" customWidth="1"/>
    <col min="5892" max="5892" width="12.5703125" style="1" customWidth="1"/>
    <col min="5893" max="5894" width="13" style="1" customWidth="1"/>
    <col min="5895" max="5895" width="14" style="1" customWidth="1"/>
    <col min="5896" max="5896" width="12" style="1" customWidth="1"/>
    <col min="5897" max="5897" width="14.7109375" style="1" customWidth="1"/>
    <col min="5898" max="5898" width="13.140625" style="1" customWidth="1"/>
    <col min="5899" max="5899" width="11.7109375" style="1" customWidth="1"/>
    <col min="5900" max="5900" width="12.7109375" style="1" customWidth="1"/>
    <col min="5901" max="5902" width="7.42578125" style="1" customWidth="1"/>
    <col min="5903" max="6145" width="9.140625" style="1"/>
    <col min="6146" max="6146" width="6.7109375" style="1" customWidth="1"/>
    <col min="6147" max="6147" width="39.85546875" style="1" customWidth="1"/>
    <col min="6148" max="6148" width="12.5703125" style="1" customWidth="1"/>
    <col min="6149" max="6150" width="13" style="1" customWidth="1"/>
    <col min="6151" max="6151" width="14" style="1" customWidth="1"/>
    <col min="6152" max="6152" width="12" style="1" customWidth="1"/>
    <col min="6153" max="6153" width="14.7109375" style="1" customWidth="1"/>
    <col min="6154" max="6154" width="13.140625" style="1" customWidth="1"/>
    <col min="6155" max="6155" width="11.7109375" style="1" customWidth="1"/>
    <col min="6156" max="6156" width="12.7109375" style="1" customWidth="1"/>
    <col min="6157" max="6158" width="7.42578125" style="1" customWidth="1"/>
    <col min="6159" max="6401" width="9.140625" style="1"/>
    <col min="6402" max="6402" width="6.7109375" style="1" customWidth="1"/>
    <col min="6403" max="6403" width="39.85546875" style="1" customWidth="1"/>
    <col min="6404" max="6404" width="12.5703125" style="1" customWidth="1"/>
    <col min="6405" max="6406" width="13" style="1" customWidth="1"/>
    <col min="6407" max="6407" width="14" style="1" customWidth="1"/>
    <col min="6408" max="6408" width="12" style="1" customWidth="1"/>
    <col min="6409" max="6409" width="14.7109375" style="1" customWidth="1"/>
    <col min="6410" max="6410" width="13.140625" style="1" customWidth="1"/>
    <col min="6411" max="6411" width="11.7109375" style="1" customWidth="1"/>
    <col min="6412" max="6412" width="12.7109375" style="1" customWidth="1"/>
    <col min="6413" max="6414" width="7.42578125" style="1" customWidth="1"/>
    <col min="6415" max="6657" width="9.140625" style="1"/>
    <col min="6658" max="6658" width="6.7109375" style="1" customWidth="1"/>
    <col min="6659" max="6659" width="39.85546875" style="1" customWidth="1"/>
    <col min="6660" max="6660" width="12.5703125" style="1" customWidth="1"/>
    <col min="6661" max="6662" width="13" style="1" customWidth="1"/>
    <col min="6663" max="6663" width="14" style="1" customWidth="1"/>
    <col min="6664" max="6664" width="12" style="1" customWidth="1"/>
    <col min="6665" max="6665" width="14.7109375" style="1" customWidth="1"/>
    <col min="6666" max="6666" width="13.140625" style="1" customWidth="1"/>
    <col min="6667" max="6667" width="11.7109375" style="1" customWidth="1"/>
    <col min="6668" max="6668" width="12.7109375" style="1" customWidth="1"/>
    <col min="6669" max="6670" width="7.42578125" style="1" customWidth="1"/>
    <col min="6671" max="6913" width="9.140625" style="1"/>
    <col min="6914" max="6914" width="6.7109375" style="1" customWidth="1"/>
    <col min="6915" max="6915" width="39.85546875" style="1" customWidth="1"/>
    <col min="6916" max="6916" width="12.5703125" style="1" customWidth="1"/>
    <col min="6917" max="6918" width="13" style="1" customWidth="1"/>
    <col min="6919" max="6919" width="14" style="1" customWidth="1"/>
    <col min="6920" max="6920" width="12" style="1" customWidth="1"/>
    <col min="6921" max="6921" width="14.7109375" style="1" customWidth="1"/>
    <col min="6922" max="6922" width="13.140625" style="1" customWidth="1"/>
    <col min="6923" max="6923" width="11.7109375" style="1" customWidth="1"/>
    <col min="6924" max="6924" width="12.7109375" style="1" customWidth="1"/>
    <col min="6925" max="6926" width="7.42578125" style="1" customWidth="1"/>
    <col min="6927" max="7169" width="9.140625" style="1"/>
    <col min="7170" max="7170" width="6.7109375" style="1" customWidth="1"/>
    <col min="7171" max="7171" width="39.85546875" style="1" customWidth="1"/>
    <col min="7172" max="7172" width="12.5703125" style="1" customWidth="1"/>
    <col min="7173" max="7174" width="13" style="1" customWidth="1"/>
    <col min="7175" max="7175" width="14" style="1" customWidth="1"/>
    <col min="7176" max="7176" width="12" style="1" customWidth="1"/>
    <col min="7177" max="7177" width="14.7109375" style="1" customWidth="1"/>
    <col min="7178" max="7178" width="13.140625" style="1" customWidth="1"/>
    <col min="7179" max="7179" width="11.7109375" style="1" customWidth="1"/>
    <col min="7180" max="7180" width="12.7109375" style="1" customWidth="1"/>
    <col min="7181" max="7182" width="7.42578125" style="1" customWidth="1"/>
    <col min="7183" max="7425" width="9.140625" style="1"/>
    <col min="7426" max="7426" width="6.7109375" style="1" customWidth="1"/>
    <col min="7427" max="7427" width="39.85546875" style="1" customWidth="1"/>
    <col min="7428" max="7428" width="12.5703125" style="1" customWidth="1"/>
    <col min="7429" max="7430" width="13" style="1" customWidth="1"/>
    <col min="7431" max="7431" width="14" style="1" customWidth="1"/>
    <col min="7432" max="7432" width="12" style="1" customWidth="1"/>
    <col min="7433" max="7433" width="14.7109375" style="1" customWidth="1"/>
    <col min="7434" max="7434" width="13.140625" style="1" customWidth="1"/>
    <col min="7435" max="7435" width="11.7109375" style="1" customWidth="1"/>
    <col min="7436" max="7436" width="12.7109375" style="1" customWidth="1"/>
    <col min="7437" max="7438" width="7.42578125" style="1" customWidth="1"/>
    <col min="7439" max="7681" width="9.140625" style="1"/>
    <col min="7682" max="7682" width="6.7109375" style="1" customWidth="1"/>
    <col min="7683" max="7683" width="39.85546875" style="1" customWidth="1"/>
    <col min="7684" max="7684" width="12.5703125" style="1" customWidth="1"/>
    <col min="7685" max="7686" width="13" style="1" customWidth="1"/>
    <col min="7687" max="7687" width="14" style="1" customWidth="1"/>
    <col min="7688" max="7688" width="12" style="1" customWidth="1"/>
    <col min="7689" max="7689" width="14.7109375" style="1" customWidth="1"/>
    <col min="7690" max="7690" width="13.140625" style="1" customWidth="1"/>
    <col min="7691" max="7691" width="11.7109375" style="1" customWidth="1"/>
    <col min="7692" max="7692" width="12.7109375" style="1" customWidth="1"/>
    <col min="7693" max="7694" width="7.42578125" style="1" customWidth="1"/>
    <col min="7695" max="7937" width="9.140625" style="1"/>
    <col min="7938" max="7938" width="6.7109375" style="1" customWidth="1"/>
    <col min="7939" max="7939" width="39.85546875" style="1" customWidth="1"/>
    <col min="7940" max="7940" width="12.5703125" style="1" customWidth="1"/>
    <col min="7941" max="7942" width="13" style="1" customWidth="1"/>
    <col min="7943" max="7943" width="14" style="1" customWidth="1"/>
    <col min="7944" max="7944" width="12" style="1" customWidth="1"/>
    <col min="7945" max="7945" width="14.7109375" style="1" customWidth="1"/>
    <col min="7946" max="7946" width="13.140625" style="1" customWidth="1"/>
    <col min="7947" max="7947" width="11.7109375" style="1" customWidth="1"/>
    <col min="7948" max="7948" width="12.7109375" style="1" customWidth="1"/>
    <col min="7949" max="7950" width="7.42578125" style="1" customWidth="1"/>
    <col min="7951" max="8193" width="9.140625" style="1"/>
    <col min="8194" max="8194" width="6.7109375" style="1" customWidth="1"/>
    <col min="8195" max="8195" width="39.85546875" style="1" customWidth="1"/>
    <col min="8196" max="8196" width="12.5703125" style="1" customWidth="1"/>
    <col min="8197" max="8198" width="13" style="1" customWidth="1"/>
    <col min="8199" max="8199" width="14" style="1" customWidth="1"/>
    <col min="8200" max="8200" width="12" style="1" customWidth="1"/>
    <col min="8201" max="8201" width="14.7109375" style="1" customWidth="1"/>
    <col min="8202" max="8202" width="13.140625" style="1" customWidth="1"/>
    <col min="8203" max="8203" width="11.7109375" style="1" customWidth="1"/>
    <col min="8204" max="8204" width="12.7109375" style="1" customWidth="1"/>
    <col min="8205" max="8206" width="7.42578125" style="1" customWidth="1"/>
    <col min="8207" max="8449" width="9.140625" style="1"/>
    <col min="8450" max="8450" width="6.7109375" style="1" customWidth="1"/>
    <col min="8451" max="8451" width="39.85546875" style="1" customWidth="1"/>
    <col min="8452" max="8452" width="12.5703125" style="1" customWidth="1"/>
    <col min="8453" max="8454" width="13" style="1" customWidth="1"/>
    <col min="8455" max="8455" width="14" style="1" customWidth="1"/>
    <col min="8456" max="8456" width="12" style="1" customWidth="1"/>
    <col min="8457" max="8457" width="14.7109375" style="1" customWidth="1"/>
    <col min="8458" max="8458" width="13.140625" style="1" customWidth="1"/>
    <col min="8459" max="8459" width="11.7109375" style="1" customWidth="1"/>
    <col min="8460" max="8460" width="12.7109375" style="1" customWidth="1"/>
    <col min="8461" max="8462" width="7.42578125" style="1" customWidth="1"/>
    <col min="8463" max="8705" width="9.140625" style="1"/>
    <col min="8706" max="8706" width="6.7109375" style="1" customWidth="1"/>
    <col min="8707" max="8707" width="39.85546875" style="1" customWidth="1"/>
    <col min="8708" max="8708" width="12.5703125" style="1" customWidth="1"/>
    <col min="8709" max="8710" width="13" style="1" customWidth="1"/>
    <col min="8711" max="8711" width="14" style="1" customWidth="1"/>
    <col min="8712" max="8712" width="12" style="1" customWidth="1"/>
    <col min="8713" max="8713" width="14.7109375" style="1" customWidth="1"/>
    <col min="8714" max="8714" width="13.140625" style="1" customWidth="1"/>
    <col min="8715" max="8715" width="11.7109375" style="1" customWidth="1"/>
    <col min="8716" max="8716" width="12.7109375" style="1" customWidth="1"/>
    <col min="8717" max="8718" width="7.42578125" style="1" customWidth="1"/>
    <col min="8719" max="8961" width="9.140625" style="1"/>
    <col min="8962" max="8962" width="6.7109375" style="1" customWidth="1"/>
    <col min="8963" max="8963" width="39.85546875" style="1" customWidth="1"/>
    <col min="8964" max="8964" width="12.5703125" style="1" customWidth="1"/>
    <col min="8965" max="8966" width="13" style="1" customWidth="1"/>
    <col min="8967" max="8967" width="14" style="1" customWidth="1"/>
    <col min="8968" max="8968" width="12" style="1" customWidth="1"/>
    <col min="8969" max="8969" width="14.7109375" style="1" customWidth="1"/>
    <col min="8970" max="8970" width="13.140625" style="1" customWidth="1"/>
    <col min="8971" max="8971" width="11.7109375" style="1" customWidth="1"/>
    <col min="8972" max="8972" width="12.7109375" style="1" customWidth="1"/>
    <col min="8973" max="8974" width="7.42578125" style="1" customWidth="1"/>
    <col min="8975" max="9217" width="9.140625" style="1"/>
    <col min="9218" max="9218" width="6.7109375" style="1" customWidth="1"/>
    <col min="9219" max="9219" width="39.85546875" style="1" customWidth="1"/>
    <col min="9220" max="9220" width="12.5703125" style="1" customWidth="1"/>
    <col min="9221" max="9222" width="13" style="1" customWidth="1"/>
    <col min="9223" max="9223" width="14" style="1" customWidth="1"/>
    <col min="9224" max="9224" width="12" style="1" customWidth="1"/>
    <col min="9225" max="9225" width="14.7109375" style="1" customWidth="1"/>
    <col min="9226" max="9226" width="13.140625" style="1" customWidth="1"/>
    <col min="9227" max="9227" width="11.7109375" style="1" customWidth="1"/>
    <col min="9228" max="9228" width="12.7109375" style="1" customWidth="1"/>
    <col min="9229" max="9230" width="7.42578125" style="1" customWidth="1"/>
    <col min="9231" max="9473" width="9.140625" style="1"/>
    <col min="9474" max="9474" width="6.7109375" style="1" customWidth="1"/>
    <col min="9475" max="9475" width="39.85546875" style="1" customWidth="1"/>
    <col min="9476" max="9476" width="12.5703125" style="1" customWidth="1"/>
    <col min="9477" max="9478" width="13" style="1" customWidth="1"/>
    <col min="9479" max="9479" width="14" style="1" customWidth="1"/>
    <col min="9480" max="9480" width="12" style="1" customWidth="1"/>
    <col min="9481" max="9481" width="14.7109375" style="1" customWidth="1"/>
    <col min="9482" max="9482" width="13.140625" style="1" customWidth="1"/>
    <col min="9483" max="9483" width="11.7109375" style="1" customWidth="1"/>
    <col min="9484" max="9484" width="12.7109375" style="1" customWidth="1"/>
    <col min="9485" max="9486" width="7.42578125" style="1" customWidth="1"/>
    <col min="9487" max="9729" width="9.140625" style="1"/>
    <col min="9730" max="9730" width="6.7109375" style="1" customWidth="1"/>
    <col min="9731" max="9731" width="39.85546875" style="1" customWidth="1"/>
    <col min="9732" max="9732" width="12.5703125" style="1" customWidth="1"/>
    <col min="9733" max="9734" width="13" style="1" customWidth="1"/>
    <col min="9735" max="9735" width="14" style="1" customWidth="1"/>
    <col min="9736" max="9736" width="12" style="1" customWidth="1"/>
    <col min="9737" max="9737" width="14.7109375" style="1" customWidth="1"/>
    <col min="9738" max="9738" width="13.140625" style="1" customWidth="1"/>
    <col min="9739" max="9739" width="11.7109375" style="1" customWidth="1"/>
    <col min="9740" max="9740" width="12.7109375" style="1" customWidth="1"/>
    <col min="9741" max="9742" width="7.42578125" style="1" customWidth="1"/>
    <col min="9743" max="9985" width="9.140625" style="1"/>
    <col min="9986" max="9986" width="6.7109375" style="1" customWidth="1"/>
    <col min="9987" max="9987" width="39.85546875" style="1" customWidth="1"/>
    <col min="9988" max="9988" width="12.5703125" style="1" customWidth="1"/>
    <col min="9989" max="9990" width="13" style="1" customWidth="1"/>
    <col min="9991" max="9991" width="14" style="1" customWidth="1"/>
    <col min="9992" max="9992" width="12" style="1" customWidth="1"/>
    <col min="9993" max="9993" width="14.7109375" style="1" customWidth="1"/>
    <col min="9994" max="9994" width="13.140625" style="1" customWidth="1"/>
    <col min="9995" max="9995" width="11.7109375" style="1" customWidth="1"/>
    <col min="9996" max="9996" width="12.7109375" style="1" customWidth="1"/>
    <col min="9997" max="9998" width="7.42578125" style="1" customWidth="1"/>
    <col min="9999" max="10241" width="9.140625" style="1"/>
    <col min="10242" max="10242" width="6.7109375" style="1" customWidth="1"/>
    <col min="10243" max="10243" width="39.85546875" style="1" customWidth="1"/>
    <col min="10244" max="10244" width="12.5703125" style="1" customWidth="1"/>
    <col min="10245" max="10246" width="13" style="1" customWidth="1"/>
    <col min="10247" max="10247" width="14" style="1" customWidth="1"/>
    <col min="10248" max="10248" width="12" style="1" customWidth="1"/>
    <col min="10249" max="10249" width="14.7109375" style="1" customWidth="1"/>
    <col min="10250" max="10250" width="13.140625" style="1" customWidth="1"/>
    <col min="10251" max="10251" width="11.7109375" style="1" customWidth="1"/>
    <col min="10252" max="10252" width="12.7109375" style="1" customWidth="1"/>
    <col min="10253" max="10254" width="7.42578125" style="1" customWidth="1"/>
    <col min="10255" max="10497" width="9.140625" style="1"/>
    <col min="10498" max="10498" width="6.7109375" style="1" customWidth="1"/>
    <col min="10499" max="10499" width="39.85546875" style="1" customWidth="1"/>
    <col min="10500" max="10500" width="12.5703125" style="1" customWidth="1"/>
    <col min="10501" max="10502" width="13" style="1" customWidth="1"/>
    <col min="10503" max="10503" width="14" style="1" customWidth="1"/>
    <col min="10504" max="10504" width="12" style="1" customWidth="1"/>
    <col min="10505" max="10505" width="14.7109375" style="1" customWidth="1"/>
    <col min="10506" max="10506" width="13.140625" style="1" customWidth="1"/>
    <col min="10507" max="10507" width="11.7109375" style="1" customWidth="1"/>
    <col min="10508" max="10508" width="12.7109375" style="1" customWidth="1"/>
    <col min="10509" max="10510" width="7.42578125" style="1" customWidth="1"/>
    <col min="10511" max="10753" width="9.140625" style="1"/>
    <col min="10754" max="10754" width="6.7109375" style="1" customWidth="1"/>
    <col min="10755" max="10755" width="39.85546875" style="1" customWidth="1"/>
    <col min="10756" max="10756" width="12.5703125" style="1" customWidth="1"/>
    <col min="10757" max="10758" width="13" style="1" customWidth="1"/>
    <col min="10759" max="10759" width="14" style="1" customWidth="1"/>
    <col min="10760" max="10760" width="12" style="1" customWidth="1"/>
    <col min="10761" max="10761" width="14.7109375" style="1" customWidth="1"/>
    <col min="10762" max="10762" width="13.140625" style="1" customWidth="1"/>
    <col min="10763" max="10763" width="11.7109375" style="1" customWidth="1"/>
    <col min="10764" max="10764" width="12.7109375" style="1" customWidth="1"/>
    <col min="10765" max="10766" width="7.42578125" style="1" customWidth="1"/>
    <col min="10767" max="11009" width="9.140625" style="1"/>
    <col min="11010" max="11010" width="6.7109375" style="1" customWidth="1"/>
    <col min="11011" max="11011" width="39.85546875" style="1" customWidth="1"/>
    <col min="11012" max="11012" width="12.5703125" style="1" customWidth="1"/>
    <col min="11013" max="11014" width="13" style="1" customWidth="1"/>
    <col min="11015" max="11015" width="14" style="1" customWidth="1"/>
    <col min="11016" max="11016" width="12" style="1" customWidth="1"/>
    <col min="11017" max="11017" width="14.7109375" style="1" customWidth="1"/>
    <col min="11018" max="11018" width="13.140625" style="1" customWidth="1"/>
    <col min="11019" max="11019" width="11.7109375" style="1" customWidth="1"/>
    <col min="11020" max="11020" width="12.7109375" style="1" customWidth="1"/>
    <col min="11021" max="11022" width="7.42578125" style="1" customWidth="1"/>
    <col min="11023" max="11265" width="9.140625" style="1"/>
    <col min="11266" max="11266" width="6.7109375" style="1" customWidth="1"/>
    <col min="11267" max="11267" width="39.85546875" style="1" customWidth="1"/>
    <col min="11268" max="11268" width="12.5703125" style="1" customWidth="1"/>
    <col min="11269" max="11270" width="13" style="1" customWidth="1"/>
    <col min="11271" max="11271" width="14" style="1" customWidth="1"/>
    <col min="11272" max="11272" width="12" style="1" customWidth="1"/>
    <col min="11273" max="11273" width="14.7109375" style="1" customWidth="1"/>
    <col min="11274" max="11274" width="13.140625" style="1" customWidth="1"/>
    <col min="11275" max="11275" width="11.7109375" style="1" customWidth="1"/>
    <col min="11276" max="11276" width="12.7109375" style="1" customWidth="1"/>
    <col min="11277" max="11278" width="7.42578125" style="1" customWidth="1"/>
    <col min="11279" max="11521" width="9.140625" style="1"/>
    <col min="11522" max="11522" width="6.7109375" style="1" customWidth="1"/>
    <col min="11523" max="11523" width="39.85546875" style="1" customWidth="1"/>
    <col min="11524" max="11524" width="12.5703125" style="1" customWidth="1"/>
    <col min="11525" max="11526" width="13" style="1" customWidth="1"/>
    <col min="11527" max="11527" width="14" style="1" customWidth="1"/>
    <col min="11528" max="11528" width="12" style="1" customWidth="1"/>
    <col min="11529" max="11529" width="14.7109375" style="1" customWidth="1"/>
    <col min="11530" max="11530" width="13.140625" style="1" customWidth="1"/>
    <col min="11531" max="11531" width="11.7109375" style="1" customWidth="1"/>
    <col min="11532" max="11532" width="12.7109375" style="1" customWidth="1"/>
    <col min="11533" max="11534" width="7.42578125" style="1" customWidth="1"/>
    <col min="11535" max="11777" width="9.140625" style="1"/>
    <col min="11778" max="11778" width="6.7109375" style="1" customWidth="1"/>
    <col min="11779" max="11779" width="39.85546875" style="1" customWidth="1"/>
    <col min="11780" max="11780" width="12.5703125" style="1" customWidth="1"/>
    <col min="11781" max="11782" width="13" style="1" customWidth="1"/>
    <col min="11783" max="11783" width="14" style="1" customWidth="1"/>
    <col min="11784" max="11784" width="12" style="1" customWidth="1"/>
    <col min="11785" max="11785" width="14.7109375" style="1" customWidth="1"/>
    <col min="11786" max="11786" width="13.140625" style="1" customWidth="1"/>
    <col min="11787" max="11787" width="11.7109375" style="1" customWidth="1"/>
    <col min="11788" max="11788" width="12.7109375" style="1" customWidth="1"/>
    <col min="11789" max="11790" width="7.42578125" style="1" customWidth="1"/>
    <col min="11791" max="12033" width="9.140625" style="1"/>
    <col min="12034" max="12034" width="6.7109375" style="1" customWidth="1"/>
    <col min="12035" max="12035" width="39.85546875" style="1" customWidth="1"/>
    <col min="12036" max="12036" width="12.5703125" style="1" customWidth="1"/>
    <col min="12037" max="12038" width="13" style="1" customWidth="1"/>
    <col min="12039" max="12039" width="14" style="1" customWidth="1"/>
    <col min="12040" max="12040" width="12" style="1" customWidth="1"/>
    <col min="12041" max="12041" width="14.7109375" style="1" customWidth="1"/>
    <col min="12042" max="12042" width="13.140625" style="1" customWidth="1"/>
    <col min="12043" max="12043" width="11.7109375" style="1" customWidth="1"/>
    <col min="12044" max="12044" width="12.7109375" style="1" customWidth="1"/>
    <col min="12045" max="12046" width="7.42578125" style="1" customWidth="1"/>
    <col min="12047" max="12289" width="9.140625" style="1"/>
    <col min="12290" max="12290" width="6.7109375" style="1" customWidth="1"/>
    <col min="12291" max="12291" width="39.85546875" style="1" customWidth="1"/>
    <col min="12292" max="12292" width="12.5703125" style="1" customWidth="1"/>
    <col min="12293" max="12294" width="13" style="1" customWidth="1"/>
    <col min="12295" max="12295" width="14" style="1" customWidth="1"/>
    <col min="12296" max="12296" width="12" style="1" customWidth="1"/>
    <col min="12297" max="12297" width="14.7109375" style="1" customWidth="1"/>
    <col min="12298" max="12298" width="13.140625" style="1" customWidth="1"/>
    <col min="12299" max="12299" width="11.7109375" style="1" customWidth="1"/>
    <col min="12300" max="12300" width="12.7109375" style="1" customWidth="1"/>
    <col min="12301" max="12302" width="7.42578125" style="1" customWidth="1"/>
    <col min="12303" max="12545" width="9.140625" style="1"/>
    <col min="12546" max="12546" width="6.7109375" style="1" customWidth="1"/>
    <col min="12547" max="12547" width="39.85546875" style="1" customWidth="1"/>
    <col min="12548" max="12548" width="12.5703125" style="1" customWidth="1"/>
    <col min="12549" max="12550" width="13" style="1" customWidth="1"/>
    <col min="12551" max="12551" width="14" style="1" customWidth="1"/>
    <col min="12552" max="12552" width="12" style="1" customWidth="1"/>
    <col min="12553" max="12553" width="14.7109375" style="1" customWidth="1"/>
    <col min="12554" max="12554" width="13.140625" style="1" customWidth="1"/>
    <col min="12555" max="12555" width="11.7109375" style="1" customWidth="1"/>
    <col min="12556" max="12556" width="12.7109375" style="1" customWidth="1"/>
    <col min="12557" max="12558" width="7.42578125" style="1" customWidth="1"/>
    <col min="12559" max="12801" width="9.140625" style="1"/>
    <col min="12802" max="12802" width="6.7109375" style="1" customWidth="1"/>
    <col min="12803" max="12803" width="39.85546875" style="1" customWidth="1"/>
    <col min="12804" max="12804" width="12.5703125" style="1" customWidth="1"/>
    <col min="12805" max="12806" width="13" style="1" customWidth="1"/>
    <col min="12807" max="12807" width="14" style="1" customWidth="1"/>
    <col min="12808" max="12808" width="12" style="1" customWidth="1"/>
    <col min="12809" max="12809" width="14.7109375" style="1" customWidth="1"/>
    <col min="12810" max="12810" width="13.140625" style="1" customWidth="1"/>
    <col min="12811" max="12811" width="11.7109375" style="1" customWidth="1"/>
    <col min="12812" max="12812" width="12.7109375" style="1" customWidth="1"/>
    <col min="12813" max="12814" width="7.42578125" style="1" customWidth="1"/>
    <col min="12815" max="13057" width="9.140625" style="1"/>
    <col min="13058" max="13058" width="6.7109375" style="1" customWidth="1"/>
    <col min="13059" max="13059" width="39.85546875" style="1" customWidth="1"/>
    <col min="13060" max="13060" width="12.5703125" style="1" customWidth="1"/>
    <col min="13061" max="13062" width="13" style="1" customWidth="1"/>
    <col min="13063" max="13063" width="14" style="1" customWidth="1"/>
    <col min="13064" max="13064" width="12" style="1" customWidth="1"/>
    <col min="13065" max="13065" width="14.7109375" style="1" customWidth="1"/>
    <col min="13066" max="13066" width="13.140625" style="1" customWidth="1"/>
    <col min="13067" max="13067" width="11.7109375" style="1" customWidth="1"/>
    <col min="13068" max="13068" width="12.7109375" style="1" customWidth="1"/>
    <col min="13069" max="13070" width="7.42578125" style="1" customWidth="1"/>
    <col min="13071" max="13313" width="9.140625" style="1"/>
    <col min="13314" max="13314" width="6.7109375" style="1" customWidth="1"/>
    <col min="13315" max="13315" width="39.85546875" style="1" customWidth="1"/>
    <col min="13316" max="13316" width="12.5703125" style="1" customWidth="1"/>
    <col min="13317" max="13318" width="13" style="1" customWidth="1"/>
    <col min="13319" max="13319" width="14" style="1" customWidth="1"/>
    <col min="13320" max="13320" width="12" style="1" customWidth="1"/>
    <col min="13321" max="13321" width="14.7109375" style="1" customWidth="1"/>
    <col min="13322" max="13322" width="13.140625" style="1" customWidth="1"/>
    <col min="13323" max="13323" width="11.7109375" style="1" customWidth="1"/>
    <col min="13324" max="13324" width="12.7109375" style="1" customWidth="1"/>
    <col min="13325" max="13326" width="7.42578125" style="1" customWidth="1"/>
    <col min="13327" max="13569" width="9.140625" style="1"/>
    <col min="13570" max="13570" width="6.7109375" style="1" customWidth="1"/>
    <col min="13571" max="13571" width="39.85546875" style="1" customWidth="1"/>
    <col min="13572" max="13572" width="12.5703125" style="1" customWidth="1"/>
    <col min="13573" max="13574" width="13" style="1" customWidth="1"/>
    <col min="13575" max="13575" width="14" style="1" customWidth="1"/>
    <col min="13576" max="13576" width="12" style="1" customWidth="1"/>
    <col min="13577" max="13577" width="14.7109375" style="1" customWidth="1"/>
    <col min="13578" max="13578" width="13.140625" style="1" customWidth="1"/>
    <col min="13579" max="13579" width="11.7109375" style="1" customWidth="1"/>
    <col min="13580" max="13580" width="12.7109375" style="1" customWidth="1"/>
    <col min="13581" max="13582" width="7.42578125" style="1" customWidth="1"/>
    <col min="13583" max="13825" width="9.140625" style="1"/>
    <col min="13826" max="13826" width="6.7109375" style="1" customWidth="1"/>
    <col min="13827" max="13827" width="39.85546875" style="1" customWidth="1"/>
    <col min="13828" max="13828" width="12.5703125" style="1" customWidth="1"/>
    <col min="13829" max="13830" width="13" style="1" customWidth="1"/>
    <col min="13831" max="13831" width="14" style="1" customWidth="1"/>
    <col min="13832" max="13832" width="12" style="1" customWidth="1"/>
    <col min="13833" max="13833" width="14.7109375" style="1" customWidth="1"/>
    <col min="13834" max="13834" width="13.140625" style="1" customWidth="1"/>
    <col min="13835" max="13835" width="11.7109375" style="1" customWidth="1"/>
    <col min="13836" max="13836" width="12.7109375" style="1" customWidth="1"/>
    <col min="13837" max="13838" width="7.42578125" style="1" customWidth="1"/>
    <col min="13839" max="14081" width="9.140625" style="1"/>
    <col min="14082" max="14082" width="6.7109375" style="1" customWidth="1"/>
    <col min="14083" max="14083" width="39.85546875" style="1" customWidth="1"/>
    <col min="14084" max="14084" width="12.5703125" style="1" customWidth="1"/>
    <col min="14085" max="14086" width="13" style="1" customWidth="1"/>
    <col min="14087" max="14087" width="14" style="1" customWidth="1"/>
    <col min="14088" max="14088" width="12" style="1" customWidth="1"/>
    <col min="14089" max="14089" width="14.7109375" style="1" customWidth="1"/>
    <col min="14090" max="14090" width="13.140625" style="1" customWidth="1"/>
    <col min="14091" max="14091" width="11.7109375" style="1" customWidth="1"/>
    <col min="14092" max="14092" width="12.7109375" style="1" customWidth="1"/>
    <col min="14093" max="14094" width="7.42578125" style="1" customWidth="1"/>
    <col min="14095" max="14337" width="9.140625" style="1"/>
    <col min="14338" max="14338" width="6.7109375" style="1" customWidth="1"/>
    <col min="14339" max="14339" width="39.85546875" style="1" customWidth="1"/>
    <col min="14340" max="14340" width="12.5703125" style="1" customWidth="1"/>
    <col min="14341" max="14342" width="13" style="1" customWidth="1"/>
    <col min="14343" max="14343" width="14" style="1" customWidth="1"/>
    <col min="14344" max="14344" width="12" style="1" customWidth="1"/>
    <col min="14345" max="14345" width="14.7109375" style="1" customWidth="1"/>
    <col min="14346" max="14346" width="13.140625" style="1" customWidth="1"/>
    <col min="14347" max="14347" width="11.7109375" style="1" customWidth="1"/>
    <col min="14348" max="14348" width="12.7109375" style="1" customWidth="1"/>
    <col min="14349" max="14350" width="7.42578125" style="1" customWidth="1"/>
    <col min="14351" max="14593" width="9.140625" style="1"/>
    <col min="14594" max="14594" width="6.7109375" style="1" customWidth="1"/>
    <col min="14595" max="14595" width="39.85546875" style="1" customWidth="1"/>
    <col min="14596" max="14596" width="12.5703125" style="1" customWidth="1"/>
    <col min="14597" max="14598" width="13" style="1" customWidth="1"/>
    <col min="14599" max="14599" width="14" style="1" customWidth="1"/>
    <col min="14600" max="14600" width="12" style="1" customWidth="1"/>
    <col min="14601" max="14601" width="14.7109375" style="1" customWidth="1"/>
    <col min="14602" max="14602" width="13.140625" style="1" customWidth="1"/>
    <col min="14603" max="14603" width="11.7109375" style="1" customWidth="1"/>
    <col min="14604" max="14604" width="12.7109375" style="1" customWidth="1"/>
    <col min="14605" max="14606" width="7.42578125" style="1" customWidth="1"/>
    <col min="14607" max="14849" width="9.140625" style="1"/>
    <col min="14850" max="14850" width="6.7109375" style="1" customWidth="1"/>
    <col min="14851" max="14851" width="39.85546875" style="1" customWidth="1"/>
    <col min="14852" max="14852" width="12.5703125" style="1" customWidth="1"/>
    <col min="14853" max="14854" width="13" style="1" customWidth="1"/>
    <col min="14855" max="14855" width="14" style="1" customWidth="1"/>
    <col min="14856" max="14856" width="12" style="1" customWidth="1"/>
    <col min="14857" max="14857" width="14.7109375" style="1" customWidth="1"/>
    <col min="14858" max="14858" width="13.140625" style="1" customWidth="1"/>
    <col min="14859" max="14859" width="11.7109375" style="1" customWidth="1"/>
    <col min="14860" max="14860" width="12.7109375" style="1" customWidth="1"/>
    <col min="14861" max="14862" width="7.42578125" style="1" customWidth="1"/>
    <col min="14863" max="15105" width="9.140625" style="1"/>
    <col min="15106" max="15106" width="6.7109375" style="1" customWidth="1"/>
    <col min="15107" max="15107" width="39.85546875" style="1" customWidth="1"/>
    <col min="15108" max="15108" width="12.5703125" style="1" customWidth="1"/>
    <col min="15109" max="15110" width="13" style="1" customWidth="1"/>
    <col min="15111" max="15111" width="14" style="1" customWidth="1"/>
    <col min="15112" max="15112" width="12" style="1" customWidth="1"/>
    <col min="15113" max="15113" width="14.7109375" style="1" customWidth="1"/>
    <col min="15114" max="15114" width="13.140625" style="1" customWidth="1"/>
    <col min="15115" max="15115" width="11.7109375" style="1" customWidth="1"/>
    <col min="15116" max="15116" width="12.7109375" style="1" customWidth="1"/>
    <col min="15117" max="15118" width="7.42578125" style="1" customWidth="1"/>
    <col min="15119" max="15361" width="9.140625" style="1"/>
    <col min="15362" max="15362" width="6.7109375" style="1" customWidth="1"/>
    <col min="15363" max="15363" width="39.85546875" style="1" customWidth="1"/>
    <col min="15364" max="15364" width="12.5703125" style="1" customWidth="1"/>
    <col min="15365" max="15366" width="13" style="1" customWidth="1"/>
    <col min="15367" max="15367" width="14" style="1" customWidth="1"/>
    <col min="15368" max="15368" width="12" style="1" customWidth="1"/>
    <col min="15369" max="15369" width="14.7109375" style="1" customWidth="1"/>
    <col min="15370" max="15370" width="13.140625" style="1" customWidth="1"/>
    <col min="15371" max="15371" width="11.7109375" style="1" customWidth="1"/>
    <col min="15372" max="15372" width="12.7109375" style="1" customWidth="1"/>
    <col min="15373" max="15374" width="7.42578125" style="1" customWidth="1"/>
    <col min="15375" max="15617" width="9.140625" style="1"/>
    <col min="15618" max="15618" width="6.7109375" style="1" customWidth="1"/>
    <col min="15619" max="15619" width="39.85546875" style="1" customWidth="1"/>
    <col min="15620" max="15620" width="12.5703125" style="1" customWidth="1"/>
    <col min="15621" max="15622" width="13" style="1" customWidth="1"/>
    <col min="15623" max="15623" width="14" style="1" customWidth="1"/>
    <col min="15624" max="15624" width="12" style="1" customWidth="1"/>
    <col min="15625" max="15625" width="14.7109375" style="1" customWidth="1"/>
    <col min="15626" max="15626" width="13.140625" style="1" customWidth="1"/>
    <col min="15627" max="15627" width="11.7109375" style="1" customWidth="1"/>
    <col min="15628" max="15628" width="12.7109375" style="1" customWidth="1"/>
    <col min="15629" max="15630" width="7.42578125" style="1" customWidth="1"/>
    <col min="15631" max="15873" width="9.140625" style="1"/>
    <col min="15874" max="15874" width="6.7109375" style="1" customWidth="1"/>
    <col min="15875" max="15875" width="39.85546875" style="1" customWidth="1"/>
    <col min="15876" max="15876" width="12.5703125" style="1" customWidth="1"/>
    <col min="15877" max="15878" width="13" style="1" customWidth="1"/>
    <col min="15879" max="15879" width="14" style="1" customWidth="1"/>
    <col min="15880" max="15880" width="12" style="1" customWidth="1"/>
    <col min="15881" max="15881" width="14.7109375" style="1" customWidth="1"/>
    <col min="15882" max="15882" width="13.140625" style="1" customWidth="1"/>
    <col min="15883" max="15883" width="11.7109375" style="1" customWidth="1"/>
    <col min="15884" max="15884" width="12.7109375" style="1" customWidth="1"/>
    <col min="15885" max="15886" width="7.42578125" style="1" customWidth="1"/>
    <col min="15887" max="16129" width="9.140625" style="1"/>
    <col min="16130" max="16130" width="6.7109375" style="1" customWidth="1"/>
    <col min="16131" max="16131" width="39.85546875" style="1" customWidth="1"/>
    <col min="16132" max="16132" width="12.5703125" style="1" customWidth="1"/>
    <col min="16133" max="16134" width="13" style="1" customWidth="1"/>
    <col min="16135" max="16135" width="14" style="1" customWidth="1"/>
    <col min="16136" max="16136" width="12" style="1" customWidth="1"/>
    <col min="16137" max="16137" width="14.7109375" style="1" customWidth="1"/>
    <col min="16138" max="16138" width="13.140625" style="1" customWidth="1"/>
    <col min="16139" max="16139" width="11.7109375" style="1" customWidth="1"/>
    <col min="16140" max="16140" width="12.7109375" style="1" customWidth="1"/>
    <col min="16141" max="16142" width="7.42578125" style="1" customWidth="1"/>
    <col min="16143" max="16384" width="9.140625" style="1"/>
  </cols>
  <sheetData>
    <row r="1" spans="1:15" ht="15" x14ac:dyDescent="0.25">
      <c r="N1" s="6"/>
    </row>
    <row r="2" spans="1:15" ht="20.100000000000001" customHeight="1" x14ac:dyDescent="0.35">
      <c r="A2" s="1303" t="s">
        <v>508</v>
      </c>
      <c r="B2" s="1196"/>
      <c r="C2" s="1196"/>
      <c r="D2" s="1196"/>
      <c r="E2" s="1196"/>
      <c r="F2" s="1196"/>
      <c r="G2" s="1196"/>
      <c r="H2" s="1196"/>
      <c r="I2" s="1196"/>
      <c r="J2" s="1196"/>
      <c r="K2" s="1196"/>
      <c r="L2" s="1196"/>
      <c r="M2" s="1196"/>
      <c r="N2" s="1304"/>
    </row>
    <row r="3" spans="1:15" ht="15" customHeight="1" x14ac:dyDescent="0.2"/>
    <row r="4" spans="1:15" ht="20.100000000000001" customHeight="1" x14ac:dyDescent="0.3">
      <c r="A4" s="7" t="s">
        <v>162</v>
      </c>
      <c r="M4" s="8"/>
    </row>
    <row r="5" spans="1:15" ht="15" customHeight="1" thickBot="1" x14ac:dyDescent="0.35">
      <c r="A5" s="7"/>
      <c r="N5" s="8" t="s">
        <v>0</v>
      </c>
    </row>
    <row r="6" spans="1:15" s="62" customFormat="1" ht="15.7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15"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15" s="9" customFormat="1" ht="20.100000000000001" customHeight="1" thickBot="1" x14ac:dyDescent="0.3">
      <c r="B8" s="10" t="s">
        <v>104</v>
      </c>
      <c r="C8" s="10"/>
      <c r="D8" s="11"/>
      <c r="E8" s="12"/>
      <c r="F8" s="11"/>
      <c r="G8" s="13"/>
      <c r="H8" s="13"/>
      <c r="I8" s="13"/>
      <c r="J8" s="13"/>
      <c r="K8" s="13"/>
      <c r="L8" s="268"/>
      <c r="M8" s="16"/>
      <c r="N8" s="16"/>
    </row>
    <row r="9" spans="1:15" s="470" customFormat="1" ht="20.100000000000001" customHeight="1" x14ac:dyDescent="0.2">
      <c r="A9" s="491">
        <v>6113</v>
      </c>
      <c r="B9" s="1322" t="s">
        <v>123</v>
      </c>
      <c r="C9" s="1323"/>
      <c r="D9" s="436">
        <v>530</v>
      </c>
      <c r="E9" s="492">
        <v>416</v>
      </c>
      <c r="F9" s="472">
        <v>530</v>
      </c>
      <c r="G9" s="563">
        <v>2656</v>
      </c>
      <c r="H9" s="493">
        <v>302.22000000000003</v>
      </c>
      <c r="I9" s="472">
        <v>1590</v>
      </c>
      <c r="J9" s="438">
        <v>0</v>
      </c>
      <c r="K9" s="1021">
        <v>0</v>
      </c>
      <c r="L9" s="961">
        <f>SUM(I9:K9)</f>
        <v>1590</v>
      </c>
      <c r="M9" s="476">
        <f t="shared" ref="M9:M12" si="0">L9/F9*100</f>
        <v>300</v>
      </c>
      <c r="N9" s="494">
        <f t="shared" ref="N9:N12" si="1">L9/G9*100</f>
        <v>59.864457831325304</v>
      </c>
      <c r="O9" s="488"/>
    </row>
    <row r="10" spans="1:15" s="470" customFormat="1" ht="20.100000000000001" customHeight="1" x14ac:dyDescent="0.2">
      <c r="A10" s="1299">
        <v>6172</v>
      </c>
      <c r="B10" s="1329" t="s">
        <v>105</v>
      </c>
      <c r="C10" s="1330"/>
      <c r="D10" s="477">
        <v>58553</v>
      </c>
      <c r="E10" s="478">
        <v>50688.72</v>
      </c>
      <c r="F10" s="512">
        <v>60344</v>
      </c>
      <c r="G10" s="510">
        <v>60214.86</v>
      </c>
      <c r="H10" s="485">
        <v>41497.160000000003</v>
      </c>
      <c r="I10" s="1022">
        <v>56889</v>
      </c>
      <c r="J10" s="1023">
        <v>4225</v>
      </c>
      <c r="K10" s="1024">
        <v>370</v>
      </c>
      <c r="L10" s="962">
        <f>SUM(I10:K10)</f>
        <v>61484</v>
      </c>
      <c r="M10" s="487">
        <f t="shared" si="0"/>
        <v>101.88916876574308</v>
      </c>
      <c r="N10" s="460">
        <f t="shared" si="1"/>
        <v>102.10768571080295</v>
      </c>
      <c r="O10" s="488"/>
    </row>
    <row r="11" spans="1:15" s="67" customFormat="1" ht="15" customHeight="1" thickBot="1" x14ac:dyDescent="0.25">
      <c r="A11" s="1321"/>
      <c r="B11" s="179" t="s">
        <v>96</v>
      </c>
      <c r="C11" s="638" t="s">
        <v>148</v>
      </c>
      <c r="D11" s="74">
        <v>250</v>
      </c>
      <c r="E11" s="75">
        <v>96.8</v>
      </c>
      <c r="F11" s="83">
        <v>250</v>
      </c>
      <c r="G11" s="417">
        <v>152.81</v>
      </c>
      <c r="H11" s="77">
        <v>2.81</v>
      </c>
      <c r="I11" s="872">
        <v>200</v>
      </c>
      <c r="J11" s="1096">
        <v>0</v>
      </c>
      <c r="K11" s="1097">
        <v>0</v>
      </c>
      <c r="L11" s="1011">
        <f>SUM(I11:K11)</f>
        <v>200</v>
      </c>
      <c r="M11" s="92">
        <f t="shared" si="0"/>
        <v>80</v>
      </c>
      <c r="N11" s="79">
        <f t="shared" si="1"/>
        <v>130.8814868136902</v>
      </c>
      <c r="O11" s="339"/>
    </row>
    <row r="12" spans="1:15" s="90" customFormat="1" ht="20.100000000000001" customHeight="1" thickBot="1" x14ac:dyDescent="0.25">
      <c r="A12" s="186"/>
      <c r="B12" s="401" t="s">
        <v>85</v>
      </c>
      <c r="C12" s="643"/>
      <c r="D12" s="181">
        <f>+D9+D10</f>
        <v>59083</v>
      </c>
      <c r="E12" s="182">
        <f t="shared" ref="E12:L12" si="2">+E9+E10</f>
        <v>51104.72</v>
      </c>
      <c r="F12" s="181">
        <f t="shared" si="2"/>
        <v>60874</v>
      </c>
      <c r="G12" s="183">
        <f t="shared" si="2"/>
        <v>62870.86</v>
      </c>
      <c r="H12" s="182">
        <f t="shared" si="2"/>
        <v>41799.380000000005</v>
      </c>
      <c r="I12" s="181">
        <f t="shared" si="2"/>
        <v>58479</v>
      </c>
      <c r="J12" s="956">
        <f t="shared" si="2"/>
        <v>4225</v>
      </c>
      <c r="K12" s="191">
        <f t="shared" si="2"/>
        <v>370</v>
      </c>
      <c r="L12" s="981">
        <f t="shared" si="2"/>
        <v>63074</v>
      </c>
      <c r="M12" s="192">
        <f t="shared" si="0"/>
        <v>103.61402240693893</v>
      </c>
      <c r="N12" s="185">
        <f t="shared" si="1"/>
        <v>100.32310676201979</v>
      </c>
      <c r="O12" s="618"/>
    </row>
    <row r="13" spans="1:15" ht="15" customHeight="1" x14ac:dyDescent="0.25">
      <c r="A13" s="65"/>
      <c r="B13" s="20"/>
      <c r="C13" s="20"/>
      <c r="D13" s="21"/>
      <c r="E13" s="22"/>
      <c r="F13" s="21"/>
      <c r="G13" s="23"/>
      <c r="H13" s="23"/>
      <c r="I13" s="23"/>
      <c r="J13" s="23"/>
      <c r="K13" s="23"/>
      <c r="L13" s="23"/>
      <c r="M13" s="24"/>
      <c r="N13" s="25"/>
      <c r="O13" s="17"/>
    </row>
    <row r="14" spans="1:15" x14ac:dyDescent="0.2">
      <c r="D14" s="3"/>
      <c r="F14" s="3"/>
      <c r="L14" s="3"/>
    </row>
    <row r="15" spans="1:15" x14ac:dyDescent="0.2">
      <c r="D15" s="3"/>
      <c r="F15" s="3"/>
      <c r="L15" s="3"/>
    </row>
  </sheetData>
  <mergeCells count="11">
    <mergeCell ref="A10:A11"/>
    <mergeCell ref="B6:C7"/>
    <mergeCell ref="A2:N2"/>
    <mergeCell ref="A6:A7"/>
    <mergeCell ref="D6:E6"/>
    <mergeCell ref="F6:H6"/>
    <mergeCell ref="I6:L6"/>
    <mergeCell ref="M6:M7"/>
    <mergeCell ref="N6:N7"/>
    <mergeCell ref="B9:C9"/>
    <mergeCell ref="B10:C10"/>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U26"/>
  <sheetViews>
    <sheetView workbookViewId="0"/>
  </sheetViews>
  <sheetFormatPr defaultColWidth="9.140625" defaultRowHeight="12.75" x14ac:dyDescent="0.2"/>
  <cols>
    <col min="1" max="1" width="7.7109375" style="67" customWidth="1"/>
    <col min="2" max="2" width="6.7109375" style="67" customWidth="1"/>
    <col min="3" max="3" width="40.7109375" style="67" customWidth="1"/>
    <col min="4" max="4" width="15.28515625" style="72" customWidth="1"/>
    <col min="5" max="5" width="15.28515625" style="147" customWidth="1"/>
    <col min="6" max="6" width="15.28515625" style="72" customWidth="1"/>
    <col min="7" max="7" width="15.28515625" style="147" customWidth="1"/>
    <col min="8" max="8" width="14.7109375" style="147" customWidth="1"/>
    <col min="9" max="11" width="15.28515625" style="147" customWidth="1"/>
    <col min="12" max="12" width="15.28515625" style="658" customWidth="1"/>
    <col min="13" max="14" width="9.7109375" style="148" customWidth="1"/>
    <col min="15" max="16384" width="9.140625" style="67"/>
  </cols>
  <sheetData>
    <row r="1" spans="1:21" ht="15" x14ac:dyDescent="0.2">
      <c r="N1" s="149"/>
    </row>
    <row r="2" spans="1:21" ht="20.25" customHeight="1" x14ac:dyDescent="0.35">
      <c r="A2" s="1303" t="s">
        <v>508</v>
      </c>
      <c r="B2" s="1196"/>
      <c r="C2" s="1196"/>
      <c r="D2" s="1196"/>
      <c r="E2" s="1196"/>
      <c r="F2" s="1196"/>
      <c r="G2" s="1196"/>
      <c r="H2" s="1196"/>
      <c r="I2" s="1196"/>
      <c r="J2" s="1196"/>
      <c r="K2" s="1196"/>
      <c r="L2" s="1196"/>
      <c r="M2" s="1196"/>
      <c r="N2" s="1304"/>
    </row>
    <row r="3" spans="1:21" ht="15" customHeight="1" x14ac:dyDescent="0.2"/>
    <row r="4" spans="1:21" ht="20.100000000000001" customHeight="1" x14ac:dyDescent="0.2">
      <c r="A4" s="68" t="s">
        <v>218</v>
      </c>
      <c r="L4" s="147"/>
      <c r="M4" s="150"/>
    </row>
    <row r="5" spans="1:21" ht="15" customHeight="1" thickBot="1" x14ac:dyDescent="0.25">
      <c r="A5" s="68"/>
      <c r="N5" s="150" t="s">
        <v>0</v>
      </c>
    </row>
    <row r="6" spans="1:21" s="151" customFormat="1" ht="15.95" customHeight="1" x14ac:dyDescent="0.2">
      <c r="A6" s="1305" t="s">
        <v>88</v>
      </c>
      <c r="B6" s="1314" t="s">
        <v>103</v>
      </c>
      <c r="C6" s="1315"/>
      <c r="D6" s="1198" t="s">
        <v>365</v>
      </c>
      <c r="E6" s="1199"/>
      <c r="F6" s="1198" t="s">
        <v>440</v>
      </c>
      <c r="G6" s="1202"/>
      <c r="H6" s="1199"/>
      <c r="I6" s="1307" t="s">
        <v>507</v>
      </c>
      <c r="J6" s="1308"/>
      <c r="K6" s="1308"/>
      <c r="L6" s="1309"/>
      <c r="M6" s="1310" t="s">
        <v>509</v>
      </c>
      <c r="N6" s="1312" t="s">
        <v>510</v>
      </c>
    </row>
    <row r="7" spans="1:21" s="151" customFormat="1" ht="27" customHeight="1" thickBot="1" x14ac:dyDescent="0.25">
      <c r="A7" s="1306"/>
      <c r="B7" s="1316"/>
      <c r="C7" s="1317"/>
      <c r="D7" s="177" t="s">
        <v>108</v>
      </c>
      <c r="E7" s="178" t="s">
        <v>126</v>
      </c>
      <c r="F7" s="264" t="s">
        <v>109</v>
      </c>
      <c r="G7" s="265" t="s">
        <v>589</v>
      </c>
      <c r="H7" s="266" t="s">
        <v>591</v>
      </c>
      <c r="I7" s="824" t="s">
        <v>124</v>
      </c>
      <c r="J7" s="825" t="s">
        <v>125</v>
      </c>
      <c r="K7" s="826" t="s">
        <v>314</v>
      </c>
      <c r="L7" s="821" t="s">
        <v>85</v>
      </c>
      <c r="M7" s="1311"/>
      <c r="N7" s="1313"/>
    </row>
    <row r="8" spans="1:21" s="69" customFormat="1" ht="20.100000000000001" customHeight="1" thickBot="1" x14ac:dyDescent="0.25">
      <c r="B8" s="152" t="s">
        <v>104</v>
      </c>
      <c r="C8" s="152"/>
      <c r="D8" s="153"/>
      <c r="E8" s="154"/>
      <c r="F8" s="153"/>
      <c r="G8" s="155"/>
      <c r="H8" s="155"/>
      <c r="I8" s="155"/>
      <c r="J8" s="155"/>
      <c r="K8" s="155"/>
      <c r="L8" s="822"/>
      <c r="M8" s="157"/>
      <c r="N8" s="157"/>
    </row>
    <row r="9" spans="1:21" s="70" customFormat="1" ht="20.100000000000001" customHeight="1" x14ac:dyDescent="0.2">
      <c r="A9" s="783">
        <v>2212</v>
      </c>
      <c r="B9" s="1334" t="s">
        <v>111</v>
      </c>
      <c r="C9" s="1335"/>
      <c r="D9" s="472">
        <v>7966</v>
      </c>
      <c r="E9" s="437">
        <v>5516.75</v>
      </c>
      <c r="F9" s="472">
        <v>10050</v>
      </c>
      <c r="G9" s="471">
        <v>11678.16</v>
      </c>
      <c r="H9" s="498">
        <v>2381.4</v>
      </c>
      <c r="I9" s="436">
        <v>9720</v>
      </c>
      <c r="J9" s="520">
        <v>1400</v>
      </c>
      <c r="K9" s="1090">
        <v>600</v>
      </c>
      <c r="L9" s="961">
        <f t="shared" ref="L9:L22" si="0">SUM(I9:K9)</f>
        <v>11720</v>
      </c>
      <c r="M9" s="441">
        <f>L9/F9*100</f>
        <v>116.61691542288557</v>
      </c>
      <c r="N9" s="442">
        <f>L9/G9*100</f>
        <v>100.35827561876187</v>
      </c>
      <c r="O9" s="444"/>
      <c r="P9" s="444"/>
      <c r="Q9" s="444"/>
      <c r="R9" s="444"/>
      <c r="S9" s="444"/>
      <c r="T9" s="444"/>
      <c r="U9" s="444"/>
    </row>
    <row r="10" spans="1:21" s="470" customFormat="1" ht="45.95" customHeight="1" x14ac:dyDescent="0.2">
      <c r="A10" s="1331">
        <v>2212</v>
      </c>
      <c r="B10" s="1336" t="s">
        <v>219</v>
      </c>
      <c r="C10" s="1340"/>
      <c r="D10" s="477">
        <f t="shared" ref="D10:K10" si="1">SUM(D11:D18)</f>
        <v>2076927</v>
      </c>
      <c r="E10" s="500">
        <f t="shared" si="1"/>
        <v>2677030.15</v>
      </c>
      <c r="F10" s="512">
        <f t="shared" si="1"/>
        <v>2830757</v>
      </c>
      <c r="G10" s="745">
        <f t="shared" si="1"/>
        <v>3283717.8899999997</v>
      </c>
      <c r="H10" s="502">
        <f t="shared" si="1"/>
        <v>2825130.11</v>
      </c>
      <c r="I10" s="445">
        <f t="shared" si="1"/>
        <v>2641993</v>
      </c>
      <c r="J10" s="447">
        <f t="shared" si="1"/>
        <v>178404</v>
      </c>
      <c r="K10" s="1091">
        <f t="shared" si="1"/>
        <v>75860</v>
      </c>
      <c r="L10" s="962">
        <f>SUM(I10:K10)</f>
        <v>2896257</v>
      </c>
      <c r="M10" s="459">
        <f t="shared" ref="M10:M22" si="2">L10/F10*100</f>
        <v>102.31386869307397</v>
      </c>
      <c r="N10" s="460">
        <f t="shared" ref="N10:N22" si="3">L10/G10*100</f>
        <v>88.200542708618627</v>
      </c>
    </row>
    <row r="11" spans="1:21" ht="15" customHeight="1" x14ac:dyDescent="0.2">
      <c r="A11" s="1332"/>
      <c r="B11" s="1341" t="s">
        <v>96</v>
      </c>
      <c r="C11" s="568" t="s">
        <v>138</v>
      </c>
      <c r="D11" s="83">
        <v>1446574</v>
      </c>
      <c r="E11" s="98">
        <v>1511427.15</v>
      </c>
      <c r="F11" s="83">
        <v>1528630</v>
      </c>
      <c r="G11" s="361">
        <v>1981590.89</v>
      </c>
      <c r="H11" s="124">
        <v>1596462.41</v>
      </c>
      <c r="I11" s="80">
        <v>1253366</v>
      </c>
      <c r="J11" s="1054">
        <v>107004</v>
      </c>
      <c r="K11" s="1092">
        <v>45260</v>
      </c>
      <c r="L11" s="1011">
        <f>SUM(I11:K11)</f>
        <v>1405630</v>
      </c>
      <c r="M11" s="78">
        <f>L11/F11*100</f>
        <v>91.953579348828683</v>
      </c>
      <c r="N11" s="79">
        <f>L11/G11*100</f>
        <v>70.934419768149013</v>
      </c>
    </row>
    <row r="12" spans="1:21" ht="15" customHeight="1" x14ac:dyDescent="0.2">
      <c r="A12" s="1332"/>
      <c r="B12" s="1342"/>
      <c r="C12" s="568" t="s">
        <v>137</v>
      </c>
      <c r="D12" s="83">
        <v>129640</v>
      </c>
      <c r="E12" s="89">
        <v>129640</v>
      </c>
      <c r="F12" s="83">
        <v>130940</v>
      </c>
      <c r="G12" s="744">
        <v>130940</v>
      </c>
      <c r="H12" s="342">
        <v>98205.2</v>
      </c>
      <c r="I12" s="80">
        <v>135940</v>
      </c>
      <c r="J12" s="1054">
        <v>0</v>
      </c>
      <c r="K12" s="1092">
        <v>0</v>
      </c>
      <c r="L12" s="1011">
        <f>SUM(I12:K12)</f>
        <v>135940</v>
      </c>
      <c r="M12" s="78">
        <f>L12/F12*100</f>
        <v>103.81854284405073</v>
      </c>
      <c r="N12" s="79">
        <f>L12/G12*100</f>
        <v>103.81854284405073</v>
      </c>
    </row>
    <row r="13" spans="1:21" ht="15" customHeight="1" x14ac:dyDescent="0.2">
      <c r="A13" s="1332"/>
      <c r="B13" s="1342"/>
      <c r="C13" s="638" t="s">
        <v>414</v>
      </c>
      <c r="D13" s="83">
        <v>6350</v>
      </c>
      <c r="E13" s="82">
        <v>6350</v>
      </c>
      <c r="F13" s="83">
        <v>4350</v>
      </c>
      <c r="G13" s="414">
        <v>4350</v>
      </c>
      <c r="H13" s="95">
        <v>3262.5</v>
      </c>
      <c r="I13" s="80">
        <v>4350</v>
      </c>
      <c r="J13" s="1054">
        <v>0</v>
      </c>
      <c r="K13" s="1092">
        <v>0</v>
      </c>
      <c r="L13" s="1011">
        <f t="shared" ref="L13" si="4">SUM(I13:K13)</f>
        <v>4350</v>
      </c>
      <c r="M13" s="78">
        <f>L13/F13*100</f>
        <v>100</v>
      </c>
      <c r="N13" s="79">
        <f>L13/G13*100</f>
        <v>100</v>
      </c>
    </row>
    <row r="14" spans="1:21" s="102" customFormat="1" ht="15" customHeight="1" x14ac:dyDescent="0.2">
      <c r="A14" s="1332"/>
      <c r="B14" s="1342"/>
      <c r="C14" s="568" t="s">
        <v>376</v>
      </c>
      <c r="D14" s="83">
        <v>137363</v>
      </c>
      <c r="E14" s="98">
        <v>147363</v>
      </c>
      <c r="F14" s="83">
        <v>154837</v>
      </c>
      <c r="G14" s="361">
        <v>154837</v>
      </c>
      <c r="H14" s="124">
        <v>115200</v>
      </c>
      <c r="I14" s="80">
        <v>158337</v>
      </c>
      <c r="J14" s="1054">
        <v>0</v>
      </c>
      <c r="K14" s="1092">
        <v>0</v>
      </c>
      <c r="L14" s="1011">
        <f>SUM(I14:K14)</f>
        <v>158337</v>
      </c>
      <c r="M14" s="78">
        <f>L14/F14*100</f>
        <v>102.26044162570962</v>
      </c>
      <c r="N14" s="79">
        <f>L14/G14*100</f>
        <v>102.26044162570962</v>
      </c>
      <c r="O14" s="171"/>
      <c r="P14" s="171"/>
      <c r="Q14" s="171"/>
    </row>
    <row r="15" spans="1:21" s="102" customFormat="1" ht="15.75" customHeight="1" x14ac:dyDescent="0.2">
      <c r="A15" s="1332"/>
      <c r="B15" s="1342"/>
      <c r="C15" s="568" t="s">
        <v>359</v>
      </c>
      <c r="D15" s="83">
        <v>330250</v>
      </c>
      <c r="E15" s="98">
        <v>882250</v>
      </c>
      <c r="F15" s="83">
        <v>1000000</v>
      </c>
      <c r="G15" s="361">
        <v>1000000</v>
      </c>
      <c r="H15" s="124">
        <v>1000000</v>
      </c>
      <c r="I15" s="80">
        <v>900000</v>
      </c>
      <c r="J15" s="1054">
        <v>70000</v>
      </c>
      <c r="K15" s="1092">
        <v>30000</v>
      </c>
      <c r="L15" s="1011">
        <f>SUM(I15:K15)</f>
        <v>1000000</v>
      </c>
      <c r="M15" s="78">
        <f t="shared" ref="M15:M18" si="5">L15/F15*100</f>
        <v>100</v>
      </c>
      <c r="N15" s="79">
        <f t="shared" ref="N15:N19" si="6">L15/G15*100</f>
        <v>100</v>
      </c>
      <c r="O15" s="164"/>
    </row>
    <row r="16" spans="1:21" s="102" customFormat="1" ht="15.75" customHeight="1" x14ac:dyDescent="0.2">
      <c r="A16" s="1332"/>
      <c r="B16" s="1342"/>
      <c r="C16" s="646" t="s">
        <v>578</v>
      </c>
      <c r="D16" s="83" t="s">
        <v>349</v>
      </c>
      <c r="E16" s="844" t="s">
        <v>349</v>
      </c>
      <c r="F16" s="83" t="s">
        <v>349</v>
      </c>
      <c r="G16" s="414" t="s">
        <v>349</v>
      </c>
      <c r="H16" s="125" t="s">
        <v>349</v>
      </c>
      <c r="I16" s="80">
        <v>30000</v>
      </c>
      <c r="J16" s="1054">
        <v>0</v>
      </c>
      <c r="K16" s="1092">
        <v>0</v>
      </c>
      <c r="L16" s="1011">
        <f t="shared" ref="L16:L17" si="7">SUM(I16:K16)</f>
        <v>30000</v>
      </c>
      <c r="M16" s="78" t="s">
        <v>60</v>
      </c>
      <c r="N16" s="79" t="s">
        <v>60</v>
      </c>
      <c r="O16" s="164"/>
    </row>
    <row r="17" spans="1:15" s="102" customFormat="1" ht="15.75" customHeight="1" x14ac:dyDescent="0.2">
      <c r="A17" s="1332"/>
      <c r="B17" s="1342"/>
      <c r="C17" s="646" t="s">
        <v>579</v>
      </c>
      <c r="D17" s="83" t="s">
        <v>349</v>
      </c>
      <c r="E17" s="844" t="s">
        <v>349</v>
      </c>
      <c r="F17" s="83" t="s">
        <v>349</v>
      </c>
      <c r="G17" s="414" t="s">
        <v>349</v>
      </c>
      <c r="H17" s="125" t="s">
        <v>349</v>
      </c>
      <c r="I17" s="80">
        <v>150000</v>
      </c>
      <c r="J17" s="1054">
        <v>0</v>
      </c>
      <c r="K17" s="1092">
        <v>0</v>
      </c>
      <c r="L17" s="1011">
        <f t="shared" si="7"/>
        <v>150000</v>
      </c>
      <c r="M17" s="78" t="s">
        <v>60</v>
      </c>
      <c r="N17" s="79" t="s">
        <v>60</v>
      </c>
      <c r="O17" s="164"/>
    </row>
    <row r="18" spans="1:15" s="102" customFormat="1" ht="27" customHeight="1" x14ac:dyDescent="0.2">
      <c r="A18" s="1333"/>
      <c r="B18" s="1343"/>
      <c r="C18" s="568" t="s">
        <v>305</v>
      </c>
      <c r="D18" s="83">
        <v>26750</v>
      </c>
      <c r="E18" s="98">
        <v>0</v>
      </c>
      <c r="F18" s="83">
        <v>12000</v>
      </c>
      <c r="G18" s="361">
        <v>12000</v>
      </c>
      <c r="H18" s="124">
        <v>12000</v>
      </c>
      <c r="I18" s="80">
        <v>10000</v>
      </c>
      <c r="J18" s="1054">
        <v>1400</v>
      </c>
      <c r="K18" s="1092">
        <v>600</v>
      </c>
      <c r="L18" s="1011">
        <f>SUM(I18:K18)</f>
        <v>12000</v>
      </c>
      <c r="M18" s="78">
        <f t="shared" si="5"/>
        <v>100</v>
      </c>
      <c r="N18" s="79">
        <f t="shared" si="6"/>
        <v>100</v>
      </c>
    </row>
    <row r="19" spans="1:15" s="70" customFormat="1" ht="20.100000000000001" customHeight="1" x14ac:dyDescent="0.2">
      <c r="A19" s="495">
        <v>2222</v>
      </c>
      <c r="B19" s="1344" t="s">
        <v>525</v>
      </c>
      <c r="C19" s="1345"/>
      <c r="D19" s="477">
        <v>0</v>
      </c>
      <c r="E19" s="500">
        <v>0</v>
      </c>
      <c r="F19" s="512">
        <v>0</v>
      </c>
      <c r="G19" s="745">
        <v>200</v>
      </c>
      <c r="H19" s="502">
        <v>0</v>
      </c>
      <c r="I19" s="445">
        <v>300</v>
      </c>
      <c r="J19" s="447">
        <v>0</v>
      </c>
      <c r="K19" s="1091">
        <v>0</v>
      </c>
      <c r="L19" s="962">
        <f>SUM(I19:K19)</f>
        <v>300</v>
      </c>
      <c r="M19" s="459" t="s">
        <v>60</v>
      </c>
      <c r="N19" s="460">
        <f t="shared" si="6"/>
        <v>150</v>
      </c>
    </row>
    <row r="20" spans="1:15" s="70" customFormat="1" ht="20.100000000000001" customHeight="1" x14ac:dyDescent="0.2">
      <c r="A20" s="495">
        <v>2223</v>
      </c>
      <c r="B20" s="1344" t="s">
        <v>191</v>
      </c>
      <c r="C20" s="1345"/>
      <c r="D20" s="477">
        <v>5415</v>
      </c>
      <c r="E20" s="500">
        <v>5826.56</v>
      </c>
      <c r="F20" s="512">
        <v>5415</v>
      </c>
      <c r="G20" s="745">
        <v>5944.66</v>
      </c>
      <c r="H20" s="502">
        <v>506.36</v>
      </c>
      <c r="I20" s="445">
        <v>2845</v>
      </c>
      <c r="J20" s="447">
        <v>700</v>
      </c>
      <c r="K20" s="1091">
        <v>300</v>
      </c>
      <c r="L20" s="962">
        <f t="shared" si="0"/>
        <v>3845</v>
      </c>
      <c r="M20" s="459">
        <f t="shared" si="2"/>
        <v>71.006463527239148</v>
      </c>
      <c r="N20" s="460">
        <f t="shared" si="3"/>
        <v>64.67989758876034</v>
      </c>
    </row>
    <row r="21" spans="1:15" s="470" customFormat="1" ht="20.100000000000001" customHeight="1" x14ac:dyDescent="0.2">
      <c r="A21" s="495">
        <v>2299</v>
      </c>
      <c r="B21" s="1336" t="s">
        <v>113</v>
      </c>
      <c r="C21" s="1337"/>
      <c r="D21" s="454">
        <v>700</v>
      </c>
      <c r="E21" s="455">
        <v>7.12</v>
      </c>
      <c r="F21" s="512">
        <v>700</v>
      </c>
      <c r="G21" s="745">
        <v>1390</v>
      </c>
      <c r="H21" s="502">
        <v>1.82</v>
      </c>
      <c r="I21" s="454">
        <v>200</v>
      </c>
      <c r="J21" s="523">
        <v>0</v>
      </c>
      <c r="K21" s="1093">
        <v>0</v>
      </c>
      <c r="L21" s="962">
        <f t="shared" si="0"/>
        <v>200</v>
      </c>
      <c r="M21" s="459">
        <f t="shared" si="2"/>
        <v>28.571428571428569</v>
      </c>
      <c r="N21" s="460">
        <f t="shared" si="3"/>
        <v>14.388489208633093</v>
      </c>
    </row>
    <row r="22" spans="1:15" s="470" customFormat="1" ht="20.100000000000001" customHeight="1" thickBot="1" x14ac:dyDescent="0.25">
      <c r="A22" s="496">
        <v>6172</v>
      </c>
      <c r="B22" s="1338" t="s">
        <v>105</v>
      </c>
      <c r="C22" s="1339"/>
      <c r="D22" s="481">
        <v>400</v>
      </c>
      <c r="E22" s="505">
        <v>341.75</v>
      </c>
      <c r="F22" s="743">
        <v>400</v>
      </c>
      <c r="G22" s="745">
        <v>625</v>
      </c>
      <c r="H22" s="504">
        <v>61.4</v>
      </c>
      <c r="I22" s="481">
        <v>400</v>
      </c>
      <c r="J22" s="1094">
        <v>70</v>
      </c>
      <c r="K22" s="1095">
        <v>30</v>
      </c>
      <c r="L22" s="962">
        <f t="shared" si="0"/>
        <v>500</v>
      </c>
      <c r="M22" s="459">
        <f t="shared" si="2"/>
        <v>125</v>
      </c>
      <c r="N22" s="460">
        <f t="shared" si="3"/>
        <v>80</v>
      </c>
    </row>
    <row r="23" spans="1:15" ht="20.100000000000001" customHeight="1" thickBot="1" x14ac:dyDescent="0.25">
      <c r="A23" s="186"/>
      <c r="B23" s="1297" t="s">
        <v>85</v>
      </c>
      <c r="C23" s="1298"/>
      <c r="D23" s="181">
        <f t="shared" ref="D23:L23" si="8">+D9+D10+SUM(D19:D22)</f>
        <v>2091408</v>
      </c>
      <c r="E23" s="182">
        <f t="shared" si="8"/>
        <v>2688722.33</v>
      </c>
      <c r="F23" s="181">
        <f t="shared" si="8"/>
        <v>2847322</v>
      </c>
      <c r="G23" s="183">
        <f t="shared" si="8"/>
        <v>3303555.71</v>
      </c>
      <c r="H23" s="182">
        <f t="shared" si="8"/>
        <v>2828081.09</v>
      </c>
      <c r="I23" s="181">
        <f t="shared" si="8"/>
        <v>2655458</v>
      </c>
      <c r="J23" s="956">
        <f t="shared" si="8"/>
        <v>180574</v>
      </c>
      <c r="K23" s="191">
        <f t="shared" si="8"/>
        <v>76790</v>
      </c>
      <c r="L23" s="981">
        <f t="shared" si="8"/>
        <v>2912822</v>
      </c>
      <c r="M23" s="184">
        <f>L23/F23*100</f>
        <v>102.30040718963294</v>
      </c>
      <c r="N23" s="185">
        <f>L23/G23*100</f>
        <v>88.172328717895297</v>
      </c>
    </row>
    <row r="24" spans="1:15" ht="15" customHeight="1" x14ac:dyDescent="0.2">
      <c r="A24" s="70"/>
      <c r="B24" s="70"/>
      <c r="C24" s="70"/>
      <c r="D24" s="164"/>
      <c r="E24" s="171"/>
      <c r="F24" s="164"/>
      <c r="G24" s="172"/>
      <c r="H24" s="172"/>
      <c r="I24" s="660"/>
      <c r="J24" s="660"/>
      <c r="K24" s="660"/>
      <c r="L24" s="660"/>
      <c r="M24" s="160"/>
      <c r="N24" s="123"/>
    </row>
    <row r="25" spans="1:15" x14ac:dyDescent="0.2">
      <c r="D25" s="147"/>
      <c r="F25" s="147"/>
      <c r="L25" s="147"/>
      <c r="N25" s="67"/>
    </row>
    <row r="26" spans="1:15" x14ac:dyDescent="0.2">
      <c r="D26" s="147"/>
      <c r="F26" s="147"/>
      <c r="L26" s="147"/>
      <c r="M26" s="1148"/>
      <c r="N26" s="67"/>
    </row>
  </sheetData>
  <mergeCells count="17">
    <mergeCell ref="B21:C21"/>
    <mergeCell ref="B22:C22"/>
    <mergeCell ref="B23:C23"/>
    <mergeCell ref="B10:C10"/>
    <mergeCell ref="B11:B18"/>
    <mergeCell ref="B20:C20"/>
    <mergeCell ref="B19:C19"/>
    <mergeCell ref="A10:A18"/>
    <mergeCell ref="A2:N2"/>
    <mergeCell ref="M6:M7"/>
    <mergeCell ref="N6:N7"/>
    <mergeCell ref="A6:A7"/>
    <mergeCell ref="D6:E6"/>
    <mergeCell ref="F6:H6"/>
    <mergeCell ref="I6:L6"/>
    <mergeCell ref="B6:C7"/>
    <mergeCell ref="B9:C9"/>
  </mergeCells>
  <printOptions horizontalCentered="1"/>
  <pageMargins left="0.59055118110236227" right="0.59055118110236227" top="0.78740157480314965" bottom="0.78740157480314965" header="0.59055118110236227" footer="0.59055118110236227"/>
  <pageSetup paperSize="9" scale="64" fitToHeight="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W113"/>
  <sheetViews>
    <sheetView workbookViewId="0"/>
  </sheetViews>
  <sheetFormatPr defaultColWidth="9.140625" defaultRowHeight="12.75" x14ac:dyDescent="0.2"/>
  <cols>
    <col min="1" max="1" width="7.7109375" style="343" customWidth="1"/>
    <col min="2" max="2" width="6.7109375" style="67" customWidth="1"/>
    <col min="3" max="3" width="40.7109375" style="67" customWidth="1"/>
    <col min="4" max="4" width="14.7109375" style="72" customWidth="1"/>
    <col min="5" max="5" width="14.7109375" style="147" customWidth="1"/>
    <col min="6" max="6" width="14.7109375" style="72" customWidth="1"/>
    <col min="7" max="7" width="16.7109375" style="147" customWidth="1"/>
    <col min="8" max="9" width="14.7109375" style="147" customWidth="1"/>
    <col min="10" max="10" width="15.28515625" style="147" customWidth="1"/>
    <col min="11" max="11" width="14.7109375" style="147" customWidth="1"/>
    <col min="12" max="12" width="14.7109375" style="658" customWidth="1"/>
    <col min="13" max="14" width="9.7109375" style="148" customWidth="1"/>
    <col min="15" max="15" width="10" style="67" bestFit="1" customWidth="1"/>
    <col min="16" max="16384" width="9.140625" style="67"/>
  </cols>
  <sheetData>
    <row r="1" spans="1:23" ht="15" customHeight="1" x14ac:dyDescent="0.2">
      <c r="N1" s="149"/>
    </row>
    <row r="2" spans="1:23" ht="20.100000000000001" customHeight="1" x14ac:dyDescent="0.35">
      <c r="A2" s="1303" t="s">
        <v>508</v>
      </c>
      <c r="B2" s="1196"/>
      <c r="C2" s="1196"/>
      <c r="D2" s="1196"/>
      <c r="E2" s="1196"/>
      <c r="F2" s="1196"/>
      <c r="G2" s="1196"/>
      <c r="H2" s="1196"/>
      <c r="I2" s="1196"/>
      <c r="J2" s="1196"/>
      <c r="K2" s="1196"/>
      <c r="L2" s="1196"/>
      <c r="M2" s="1196"/>
      <c r="N2" s="1304"/>
    </row>
    <row r="3" spans="1:23" ht="15" customHeight="1" x14ac:dyDescent="0.2"/>
    <row r="4" spans="1:23" ht="20.100000000000001" customHeight="1" x14ac:dyDescent="0.2">
      <c r="A4" s="388" t="s">
        <v>127</v>
      </c>
      <c r="M4" s="335"/>
    </row>
    <row r="5" spans="1:23" ht="15" customHeight="1" thickBot="1" x14ac:dyDescent="0.25">
      <c r="A5" s="389"/>
      <c r="D5" s="390"/>
      <c r="H5" s="391"/>
      <c r="K5" s="391"/>
      <c r="N5" s="335" t="s">
        <v>0</v>
      </c>
    </row>
    <row r="6" spans="1:23" s="151" customFormat="1" ht="15.95" customHeight="1" x14ac:dyDescent="0.2">
      <c r="A6" s="1305" t="s">
        <v>88</v>
      </c>
      <c r="B6" s="1314" t="s">
        <v>103</v>
      </c>
      <c r="C6" s="1315"/>
      <c r="D6" s="1198" t="s">
        <v>365</v>
      </c>
      <c r="E6" s="1199"/>
      <c r="F6" s="1198" t="s">
        <v>440</v>
      </c>
      <c r="G6" s="1202"/>
      <c r="H6" s="1199"/>
      <c r="I6" s="1307" t="s">
        <v>507</v>
      </c>
      <c r="J6" s="1308"/>
      <c r="K6" s="1308"/>
      <c r="L6" s="1309"/>
      <c r="M6" s="1310" t="s">
        <v>509</v>
      </c>
      <c r="N6" s="1312" t="s">
        <v>510</v>
      </c>
    </row>
    <row r="7" spans="1:23" s="151" customFormat="1" ht="27" customHeight="1" thickBot="1" x14ac:dyDescent="0.25">
      <c r="A7" s="1306"/>
      <c r="B7" s="1316"/>
      <c r="C7" s="1317"/>
      <c r="D7" s="177" t="s">
        <v>108</v>
      </c>
      <c r="E7" s="178" t="s">
        <v>126</v>
      </c>
      <c r="F7" s="264" t="s">
        <v>109</v>
      </c>
      <c r="G7" s="265" t="s">
        <v>589</v>
      </c>
      <c r="H7" s="266" t="s">
        <v>591</v>
      </c>
      <c r="I7" s="824" t="s">
        <v>124</v>
      </c>
      <c r="J7" s="825" t="s">
        <v>125</v>
      </c>
      <c r="K7" s="826" t="s">
        <v>314</v>
      </c>
      <c r="L7" s="821" t="s">
        <v>85</v>
      </c>
      <c r="M7" s="1311"/>
      <c r="N7" s="1313"/>
    </row>
    <row r="8" spans="1:23" s="69" customFormat="1" ht="20.100000000000001" customHeight="1" thickBot="1" x14ac:dyDescent="0.25">
      <c r="A8" s="392"/>
      <c r="B8" s="393" t="s">
        <v>104</v>
      </c>
      <c r="C8" s="336"/>
      <c r="D8" s="337"/>
      <c r="E8" s="338"/>
      <c r="F8" s="337"/>
      <c r="G8" s="155"/>
      <c r="H8" s="155"/>
      <c r="I8" s="155"/>
      <c r="J8" s="155"/>
      <c r="K8" s="155"/>
      <c r="L8" s="822"/>
      <c r="M8" s="157"/>
      <c r="N8" s="157"/>
    </row>
    <row r="9" spans="1:23" s="70" customFormat="1" ht="29.25" customHeight="1" x14ac:dyDescent="0.2">
      <c r="A9" s="1358" t="s">
        <v>426</v>
      </c>
      <c r="B9" s="1359"/>
      <c r="C9" s="1302"/>
      <c r="D9" s="438">
        <f t="shared" ref="D9" si="0">SUM(D10:D21)</f>
        <v>408146</v>
      </c>
      <c r="E9" s="437">
        <f>SUM(E10:E21)</f>
        <v>421123.32999999996</v>
      </c>
      <c r="F9" s="438">
        <f t="shared" ref="F9:K9" si="1">SUM(F10:F21)</f>
        <v>456100</v>
      </c>
      <c r="G9" s="439">
        <f t="shared" si="1"/>
        <v>451641.21999999986</v>
      </c>
      <c r="H9" s="440">
        <f t="shared" si="1"/>
        <v>338451.66</v>
      </c>
      <c r="I9" s="472">
        <f t="shared" si="1"/>
        <v>456100</v>
      </c>
      <c r="J9" s="438">
        <f t="shared" si="1"/>
        <v>44214</v>
      </c>
      <c r="K9" s="1021">
        <f t="shared" si="1"/>
        <v>0</v>
      </c>
      <c r="L9" s="961">
        <f>SUM(I9:K9)</f>
        <v>500314</v>
      </c>
      <c r="M9" s="603">
        <f>L9/F9*100</f>
        <v>109.69392677044507</v>
      </c>
      <c r="N9" s="604">
        <f>L9/G9*100</f>
        <v>110.77686841781184</v>
      </c>
      <c r="O9" s="838"/>
      <c r="P9" s="444"/>
      <c r="Q9" s="443"/>
      <c r="R9" s="443"/>
      <c r="S9" s="444"/>
      <c r="T9" s="444"/>
      <c r="U9" s="444"/>
      <c r="V9" s="444"/>
    </row>
    <row r="10" spans="1:23" ht="30" customHeight="1" x14ac:dyDescent="0.2">
      <c r="A10" s="577">
        <v>3112</v>
      </c>
      <c r="B10" s="1346" t="s">
        <v>128</v>
      </c>
      <c r="C10" s="1347"/>
      <c r="D10" s="415">
        <v>2672</v>
      </c>
      <c r="E10" s="120">
        <v>1652</v>
      </c>
      <c r="F10" s="415">
        <v>1652</v>
      </c>
      <c r="G10" s="434">
        <v>1652</v>
      </c>
      <c r="H10" s="852">
        <v>1376.8</v>
      </c>
      <c r="I10" s="968">
        <v>1652</v>
      </c>
      <c r="J10" s="1076">
        <v>165</v>
      </c>
      <c r="K10" s="1076">
        <v>0</v>
      </c>
      <c r="L10" s="1046">
        <f t="shared" ref="L10:L84" si="2">SUM(I10:K10)</f>
        <v>1817</v>
      </c>
      <c r="M10" s="605">
        <f t="shared" ref="M10:M85" si="3">L10/F10*100</f>
        <v>109.98789346246973</v>
      </c>
      <c r="N10" s="606">
        <f t="shared" ref="N10:N85" si="4">L10/G10*100</f>
        <v>109.98789346246973</v>
      </c>
      <c r="O10" s="838"/>
      <c r="P10" s="86"/>
      <c r="Q10" s="85"/>
      <c r="R10" s="85"/>
      <c r="S10" s="86"/>
      <c r="T10" s="86"/>
      <c r="U10" s="86"/>
      <c r="V10" s="86"/>
    </row>
    <row r="11" spans="1:23" ht="30" customHeight="1" x14ac:dyDescent="0.2">
      <c r="A11" s="577">
        <v>3114</v>
      </c>
      <c r="B11" s="1346" t="s">
        <v>129</v>
      </c>
      <c r="C11" s="1347"/>
      <c r="D11" s="415">
        <v>40697</v>
      </c>
      <c r="E11" s="120">
        <v>36477.06</v>
      </c>
      <c r="F11" s="415">
        <v>35837</v>
      </c>
      <c r="G11" s="434">
        <v>36766.93</v>
      </c>
      <c r="H11" s="852">
        <v>30236.1</v>
      </c>
      <c r="I11" s="968">
        <v>35837</v>
      </c>
      <c r="J11" s="1076">
        <v>3583</v>
      </c>
      <c r="K11" s="1076">
        <v>0</v>
      </c>
      <c r="L11" s="1046">
        <f t="shared" si="2"/>
        <v>39420</v>
      </c>
      <c r="M11" s="605">
        <f t="shared" si="3"/>
        <v>109.99804671149928</v>
      </c>
      <c r="N11" s="606">
        <f t="shared" si="4"/>
        <v>107.21591386607476</v>
      </c>
      <c r="O11" s="838"/>
      <c r="P11" s="72"/>
      <c r="Q11" s="85"/>
      <c r="R11" s="85"/>
      <c r="S11" s="86"/>
      <c r="T11" s="86"/>
      <c r="U11" s="86"/>
      <c r="V11" s="86"/>
      <c r="W11" s="86"/>
    </row>
    <row r="12" spans="1:23" ht="20.100000000000001" customHeight="1" x14ac:dyDescent="0.2">
      <c r="A12" s="577">
        <v>3121</v>
      </c>
      <c r="B12" s="1346" t="s">
        <v>115</v>
      </c>
      <c r="C12" s="1347"/>
      <c r="D12" s="415">
        <v>58788</v>
      </c>
      <c r="E12" s="120">
        <v>68218.7</v>
      </c>
      <c r="F12" s="415">
        <v>67468</v>
      </c>
      <c r="G12" s="434">
        <v>68329.899999999994</v>
      </c>
      <c r="H12" s="852">
        <v>56458</v>
      </c>
      <c r="I12" s="968">
        <v>67468</v>
      </c>
      <c r="J12" s="1076">
        <v>6746</v>
      </c>
      <c r="K12" s="1076">
        <v>0</v>
      </c>
      <c r="L12" s="1046">
        <f t="shared" si="2"/>
        <v>74214</v>
      </c>
      <c r="M12" s="605">
        <f t="shared" si="3"/>
        <v>109.99881425268276</v>
      </c>
      <c r="N12" s="606">
        <f t="shared" si="4"/>
        <v>108.61131071463592</v>
      </c>
      <c r="O12" s="838"/>
      <c r="P12" s="72"/>
      <c r="Q12" s="85"/>
      <c r="R12" s="85"/>
      <c r="S12" s="86"/>
      <c r="T12" s="86"/>
      <c r="U12" s="86"/>
      <c r="V12" s="86"/>
      <c r="W12" s="86"/>
    </row>
    <row r="13" spans="1:23" ht="20.100000000000001" customHeight="1" x14ac:dyDescent="0.2">
      <c r="A13" s="577">
        <v>3122</v>
      </c>
      <c r="B13" s="1346" t="s">
        <v>116</v>
      </c>
      <c r="C13" s="1347"/>
      <c r="D13" s="415">
        <v>88644</v>
      </c>
      <c r="E13" s="120">
        <v>110599.53</v>
      </c>
      <c r="F13" s="415">
        <v>107695</v>
      </c>
      <c r="G13" s="434">
        <v>114627.18</v>
      </c>
      <c r="H13" s="852">
        <v>89294.2</v>
      </c>
      <c r="I13" s="968">
        <v>112177</v>
      </c>
      <c r="J13" s="1076">
        <v>11217</v>
      </c>
      <c r="K13" s="1076">
        <v>0</v>
      </c>
      <c r="L13" s="1046">
        <f t="shared" si="2"/>
        <v>123394</v>
      </c>
      <c r="M13" s="605">
        <f t="shared" si="3"/>
        <v>114.57727842518224</v>
      </c>
      <c r="N13" s="606">
        <f t="shared" si="4"/>
        <v>107.64811626701452</v>
      </c>
      <c r="O13" s="838"/>
      <c r="P13" s="72"/>
      <c r="Q13" s="85"/>
      <c r="R13" s="85"/>
      <c r="S13" s="86"/>
      <c r="T13" s="86"/>
      <c r="U13" s="86"/>
      <c r="V13" s="86"/>
      <c r="W13" s="86"/>
    </row>
    <row r="14" spans="1:23" ht="30" customHeight="1" x14ac:dyDescent="0.2">
      <c r="A14" s="577">
        <v>3123</v>
      </c>
      <c r="B14" s="1346" t="s">
        <v>130</v>
      </c>
      <c r="C14" s="1347"/>
      <c r="D14" s="415">
        <v>113062</v>
      </c>
      <c r="E14" s="120">
        <v>141503.47</v>
      </c>
      <c r="F14" s="415">
        <v>135265</v>
      </c>
      <c r="G14" s="767">
        <v>133408.18</v>
      </c>
      <c r="H14" s="852">
        <v>110400.56</v>
      </c>
      <c r="I14" s="968">
        <v>130783</v>
      </c>
      <c r="J14" s="1076">
        <v>13078</v>
      </c>
      <c r="K14" s="1076">
        <v>0</v>
      </c>
      <c r="L14" s="1046">
        <f t="shared" si="2"/>
        <v>143861</v>
      </c>
      <c r="M14" s="605">
        <f t="shared" si="3"/>
        <v>106.354932909474</v>
      </c>
      <c r="N14" s="606">
        <f t="shared" si="4"/>
        <v>107.83521670110483</v>
      </c>
      <c r="O14" s="838"/>
      <c r="P14" s="72"/>
      <c r="Q14" s="85"/>
      <c r="R14" s="85"/>
      <c r="S14" s="86"/>
      <c r="T14" s="86"/>
      <c r="U14" s="86"/>
      <c r="V14" s="86"/>
      <c r="W14" s="86"/>
    </row>
    <row r="15" spans="1:23" ht="30" customHeight="1" x14ac:dyDescent="0.2">
      <c r="A15" s="577">
        <v>3125</v>
      </c>
      <c r="B15" s="1346" t="s">
        <v>248</v>
      </c>
      <c r="C15" s="1347"/>
      <c r="D15" s="415">
        <v>9043</v>
      </c>
      <c r="E15" s="120">
        <v>17685</v>
      </c>
      <c r="F15" s="415">
        <v>13154</v>
      </c>
      <c r="G15" s="767">
        <v>15459.72</v>
      </c>
      <c r="H15" s="852">
        <v>12762.5</v>
      </c>
      <c r="I15" s="968">
        <v>13154</v>
      </c>
      <c r="J15" s="1076">
        <v>1354</v>
      </c>
      <c r="K15" s="1076">
        <v>0</v>
      </c>
      <c r="L15" s="1046">
        <f t="shared" si="2"/>
        <v>14508</v>
      </c>
      <c r="M15" s="605">
        <f t="shared" si="3"/>
        <v>110.29344686027065</v>
      </c>
      <c r="N15" s="606">
        <f t="shared" si="4"/>
        <v>93.84387298088194</v>
      </c>
      <c r="O15" s="838"/>
      <c r="P15" s="72"/>
      <c r="Q15" s="85"/>
      <c r="R15" s="85"/>
      <c r="S15" s="86"/>
      <c r="T15" s="86"/>
      <c r="U15" s="86"/>
      <c r="V15" s="86"/>
      <c r="W15" s="86"/>
    </row>
    <row r="16" spans="1:23" ht="20.100000000000001" customHeight="1" x14ac:dyDescent="0.2">
      <c r="A16" s="577">
        <v>3133</v>
      </c>
      <c r="B16" s="1346" t="s">
        <v>117</v>
      </c>
      <c r="C16" s="1347"/>
      <c r="D16" s="415">
        <v>30389</v>
      </c>
      <c r="E16" s="120">
        <v>32029.1</v>
      </c>
      <c r="F16" s="415">
        <v>31763</v>
      </c>
      <c r="G16" s="767">
        <v>32639.47</v>
      </c>
      <c r="H16" s="852">
        <v>27087.9</v>
      </c>
      <c r="I16" s="968">
        <v>31763</v>
      </c>
      <c r="J16" s="1076">
        <v>3176</v>
      </c>
      <c r="K16" s="1076">
        <v>0</v>
      </c>
      <c r="L16" s="1046">
        <f t="shared" si="2"/>
        <v>34939</v>
      </c>
      <c r="M16" s="605">
        <f t="shared" si="3"/>
        <v>109.99905550483267</v>
      </c>
      <c r="N16" s="606">
        <f t="shared" si="4"/>
        <v>107.04524307533178</v>
      </c>
      <c r="O16" s="838"/>
      <c r="P16" s="72"/>
      <c r="Q16" s="85"/>
      <c r="R16" s="85"/>
      <c r="S16" s="86"/>
      <c r="T16" s="86"/>
      <c r="U16" s="86"/>
      <c r="V16" s="86"/>
      <c r="W16" s="86"/>
    </row>
    <row r="17" spans="1:23" ht="20.100000000000001" customHeight="1" x14ac:dyDescent="0.2">
      <c r="A17" s="577">
        <v>3146</v>
      </c>
      <c r="B17" s="1346" t="s">
        <v>131</v>
      </c>
      <c r="C17" s="1347"/>
      <c r="D17" s="415">
        <v>5600</v>
      </c>
      <c r="E17" s="120">
        <v>5243.6</v>
      </c>
      <c r="F17" s="415">
        <v>5001</v>
      </c>
      <c r="G17" s="767">
        <v>5611</v>
      </c>
      <c r="H17" s="852">
        <v>4574.2</v>
      </c>
      <c r="I17" s="968">
        <v>5700</v>
      </c>
      <c r="J17" s="1076">
        <v>700</v>
      </c>
      <c r="K17" s="1076">
        <v>0</v>
      </c>
      <c r="L17" s="1046">
        <f t="shared" si="2"/>
        <v>6400</v>
      </c>
      <c r="M17" s="605">
        <f t="shared" si="3"/>
        <v>127.97440511897619</v>
      </c>
      <c r="N17" s="606">
        <f t="shared" si="4"/>
        <v>114.06166458741758</v>
      </c>
      <c r="O17" s="838"/>
      <c r="P17" s="72"/>
      <c r="Q17" s="85"/>
      <c r="R17" s="85"/>
      <c r="S17" s="86"/>
      <c r="T17" s="86"/>
      <c r="U17" s="86"/>
      <c r="V17" s="86"/>
      <c r="W17" s="86"/>
    </row>
    <row r="18" spans="1:23" ht="20.100000000000001" customHeight="1" x14ac:dyDescent="0.2">
      <c r="A18" s="577">
        <v>3231</v>
      </c>
      <c r="B18" s="1346" t="s">
        <v>132</v>
      </c>
      <c r="C18" s="1347"/>
      <c r="D18" s="415">
        <v>876</v>
      </c>
      <c r="E18" s="120">
        <v>1819.84</v>
      </c>
      <c r="F18" s="415">
        <v>2235</v>
      </c>
      <c r="G18" s="767">
        <v>1823.11</v>
      </c>
      <c r="H18" s="852">
        <v>1310.3</v>
      </c>
      <c r="I18" s="968">
        <v>2235</v>
      </c>
      <c r="J18" s="1076">
        <v>223</v>
      </c>
      <c r="K18" s="1076">
        <v>0</v>
      </c>
      <c r="L18" s="1046">
        <f t="shared" si="2"/>
        <v>2458</v>
      </c>
      <c r="M18" s="605">
        <f t="shared" si="3"/>
        <v>109.97762863534675</v>
      </c>
      <c r="N18" s="606">
        <f t="shared" si="4"/>
        <v>134.82455803544494</v>
      </c>
      <c r="O18" s="838"/>
      <c r="P18" s="72"/>
      <c r="Q18" s="85"/>
      <c r="R18" s="85"/>
      <c r="S18" s="86"/>
      <c r="T18" s="86"/>
      <c r="U18" s="86"/>
      <c r="V18" s="86"/>
      <c r="W18" s="86"/>
    </row>
    <row r="19" spans="1:23" ht="20.100000000000001" customHeight="1" x14ac:dyDescent="0.2">
      <c r="A19" s="577">
        <v>3269</v>
      </c>
      <c r="B19" s="1346" t="s">
        <v>133</v>
      </c>
      <c r="C19" s="1347"/>
      <c r="D19" s="415">
        <v>49756</v>
      </c>
      <c r="E19" s="120">
        <v>6.05</v>
      </c>
      <c r="F19" s="415">
        <v>50282</v>
      </c>
      <c r="G19" s="767">
        <v>34957.47</v>
      </c>
      <c r="H19" s="852">
        <v>0</v>
      </c>
      <c r="I19" s="968">
        <v>49283</v>
      </c>
      <c r="J19" s="1076">
        <v>3368</v>
      </c>
      <c r="K19" s="1076">
        <v>0</v>
      </c>
      <c r="L19" s="1046">
        <f t="shared" si="2"/>
        <v>52651</v>
      </c>
      <c r="M19" s="605">
        <f t="shared" si="3"/>
        <v>104.71142754862575</v>
      </c>
      <c r="N19" s="606">
        <f t="shared" si="4"/>
        <v>150.61444664044623</v>
      </c>
      <c r="O19" s="838"/>
      <c r="P19" s="72"/>
      <c r="Q19" s="85"/>
      <c r="R19" s="85"/>
      <c r="S19" s="86"/>
      <c r="T19" s="86"/>
      <c r="U19" s="86"/>
      <c r="V19" s="86"/>
      <c r="W19" s="86"/>
    </row>
    <row r="20" spans="1:23" ht="30" customHeight="1" x14ac:dyDescent="0.2">
      <c r="A20" s="577" t="s">
        <v>134</v>
      </c>
      <c r="B20" s="1346" t="s">
        <v>135</v>
      </c>
      <c r="C20" s="1347"/>
      <c r="D20" s="415">
        <v>4383</v>
      </c>
      <c r="E20" s="120">
        <v>5188.9799999999996</v>
      </c>
      <c r="F20" s="415">
        <v>5048</v>
      </c>
      <c r="G20" s="767">
        <v>5273.65</v>
      </c>
      <c r="H20" s="852">
        <v>4168.1000000000004</v>
      </c>
      <c r="I20" s="968">
        <v>5048</v>
      </c>
      <c r="J20" s="1076">
        <v>504</v>
      </c>
      <c r="K20" s="1076">
        <v>0</v>
      </c>
      <c r="L20" s="1046">
        <f t="shared" si="2"/>
        <v>5552</v>
      </c>
      <c r="M20" s="605">
        <f t="shared" si="3"/>
        <v>109.98415213946117</v>
      </c>
      <c r="N20" s="606">
        <f t="shared" si="4"/>
        <v>105.27812805172888</v>
      </c>
      <c r="O20" s="838"/>
      <c r="P20" s="72"/>
      <c r="Q20" s="85"/>
      <c r="R20" s="85"/>
      <c r="S20" s="86"/>
      <c r="T20" s="86"/>
      <c r="U20" s="86"/>
      <c r="V20" s="86"/>
      <c r="W20" s="86"/>
    </row>
    <row r="21" spans="1:23" ht="20.100000000000001" customHeight="1" x14ac:dyDescent="0.2">
      <c r="A21" s="577">
        <v>3421</v>
      </c>
      <c r="B21" s="1346" t="s">
        <v>136</v>
      </c>
      <c r="C21" s="1347"/>
      <c r="D21" s="415">
        <v>4236</v>
      </c>
      <c r="E21" s="120">
        <v>700</v>
      </c>
      <c r="F21" s="415">
        <v>700</v>
      </c>
      <c r="G21" s="118">
        <v>1092.6099999999999</v>
      </c>
      <c r="H21" s="852">
        <v>783</v>
      </c>
      <c r="I21" s="968">
        <v>1000</v>
      </c>
      <c r="J21" s="1076">
        <v>100</v>
      </c>
      <c r="K21" s="1076">
        <v>0</v>
      </c>
      <c r="L21" s="1046">
        <f t="shared" si="2"/>
        <v>1100</v>
      </c>
      <c r="M21" s="605">
        <f t="shared" si="3"/>
        <v>157.14285714285714</v>
      </c>
      <c r="N21" s="606">
        <f t="shared" si="4"/>
        <v>100.67636210541731</v>
      </c>
      <c r="O21" s="838"/>
      <c r="P21" s="72"/>
      <c r="Q21" s="85"/>
      <c r="R21" s="85"/>
      <c r="S21" s="86"/>
      <c r="T21" s="86"/>
      <c r="U21" s="86"/>
      <c r="V21" s="86"/>
      <c r="W21" s="86"/>
    </row>
    <row r="22" spans="1:23" s="88" customFormat="1" ht="15" customHeight="1" x14ac:dyDescent="0.2">
      <c r="A22" s="1356" t="s">
        <v>96</v>
      </c>
      <c r="B22" s="1357" t="s">
        <v>138</v>
      </c>
      <c r="C22" s="1351"/>
      <c r="D22" s="416">
        <v>39000</v>
      </c>
      <c r="E22" s="98">
        <v>39000</v>
      </c>
      <c r="F22" s="416">
        <v>40000</v>
      </c>
      <c r="G22" s="81">
        <v>40000</v>
      </c>
      <c r="H22" s="95">
        <v>30000</v>
      </c>
      <c r="I22" s="83">
        <v>40000</v>
      </c>
      <c r="J22" s="1014">
        <v>0</v>
      </c>
      <c r="K22" s="1014">
        <v>0</v>
      </c>
      <c r="L22" s="1011">
        <f>SUM(I22:K22)</f>
        <v>40000</v>
      </c>
      <c r="M22" s="850">
        <f>L22/F22*100</f>
        <v>100</v>
      </c>
      <c r="N22" s="851">
        <f>L22/G22*100</f>
        <v>100</v>
      </c>
      <c r="O22" s="838"/>
      <c r="P22" s="87"/>
      <c r="Q22" s="87"/>
      <c r="R22" s="87"/>
      <c r="S22" s="87"/>
      <c r="T22" s="87"/>
      <c r="U22" s="87"/>
      <c r="V22" s="87"/>
    </row>
    <row r="23" spans="1:23" s="88" customFormat="1" ht="15" customHeight="1" x14ac:dyDescent="0.2">
      <c r="A23" s="1356"/>
      <c r="B23" s="1354" t="s">
        <v>137</v>
      </c>
      <c r="C23" s="1355"/>
      <c r="D23" s="416">
        <v>369146</v>
      </c>
      <c r="E23" s="98">
        <v>382123.33</v>
      </c>
      <c r="F23" s="416">
        <v>416100</v>
      </c>
      <c r="G23" s="81">
        <v>411641.22</v>
      </c>
      <c r="H23" s="125">
        <v>308451.65999999997</v>
      </c>
      <c r="I23" s="1069">
        <v>416100</v>
      </c>
      <c r="J23" s="1014">
        <v>44214</v>
      </c>
      <c r="K23" s="1014">
        <v>0</v>
      </c>
      <c r="L23" s="1011">
        <f>SUM(I23:K23)</f>
        <v>460314</v>
      </c>
      <c r="M23" s="607">
        <f>L23/F23*100</f>
        <v>110.62581110310022</v>
      </c>
      <c r="N23" s="608">
        <f>L23/G23*100</f>
        <v>111.82407825921807</v>
      </c>
      <c r="O23" s="838"/>
      <c r="P23" s="87"/>
      <c r="Q23" s="87"/>
      <c r="R23" s="87"/>
      <c r="S23" s="87"/>
      <c r="T23" s="87"/>
      <c r="U23" s="87"/>
      <c r="V23" s="87"/>
    </row>
    <row r="24" spans="1:23" s="88" customFormat="1" ht="15" customHeight="1" x14ac:dyDescent="0.2">
      <c r="A24" s="1356"/>
      <c r="B24" s="1354" t="s">
        <v>376</v>
      </c>
      <c r="C24" s="1355"/>
      <c r="D24" s="416">
        <v>0</v>
      </c>
      <c r="E24" s="98">
        <v>0</v>
      </c>
      <c r="F24" s="416">
        <v>0</v>
      </c>
      <c r="G24" s="81">
        <v>0</v>
      </c>
      <c r="H24" s="82">
        <v>0</v>
      </c>
      <c r="I24" s="83">
        <v>0</v>
      </c>
      <c r="J24" s="1014">
        <v>0</v>
      </c>
      <c r="K24" s="1015">
        <v>0</v>
      </c>
      <c r="L24" s="1011">
        <f t="shared" si="2"/>
        <v>0</v>
      </c>
      <c r="M24" s="607" t="s">
        <v>60</v>
      </c>
      <c r="N24" s="608" t="s">
        <v>60</v>
      </c>
      <c r="O24" s="838"/>
      <c r="P24" s="87"/>
      <c r="Q24" s="87"/>
      <c r="R24" s="87"/>
      <c r="S24" s="87"/>
      <c r="T24" s="87"/>
      <c r="U24" s="87"/>
      <c r="V24" s="87"/>
    </row>
    <row r="25" spans="1:23" s="70" customFormat="1" ht="20.100000000000001" customHeight="1" x14ac:dyDescent="0.2">
      <c r="A25" s="1348" t="s">
        <v>415</v>
      </c>
      <c r="B25" s="1349"/>
      <c r="C25" s="1294"/>
      <c r="D25" s="513">
        <f>SUM(D26:D37)</f>
        <v>377520</v>
      </c>
      <c r="E25" s="794">
        <f>SUM(E26:E37)</f>
        <v>358019.95</v>
      </c>
      <c r="F25" s="827">
        <f>SUM(F26:F37)</f>
        <v>354199</v>
      </c>
      <c r="G25" s="449">
        <f t="shared" ref="G25:H25" si="5">SUM(G26:G37)</f>
        <v>354199</v>
      </c>
      <c r="H25" s="450">
        <f t="shared" si="5"/>
        <v>204665.59</v>
      </c>
      <c r="I25" s="897">
        <f>SUM(I26:I37)</f>
        <v>250000</v>
      </c>
      <c r="J25" s="513">
        <f t="shared" ref="J25:K25" si="6">SUM(J26:J37)</f>
        <v>0</v>
      </c>
      <c r="K25" s="1057">
        <f t="shared" si="6"/>
        <v>0</v>
      </c>
      <c r="L25" s="1020">
        <f>SUM(I25:K25)</f>
        <v>250000</v>
      </c>
      <c r="M25" s="611">
        <f>L25/F25*100</f>
        <v>70.58179159173234</v>
      </c>
      <c r="N25" s="612">
        <f>L25/G25*100</f>
        <v>70.58179159173234</v>
      </c>
      <c r="O25" s="838"/>
      <c r="P25" s="444"/>
      <c r="Q25" s="444"/>
      <c r="R25" s="444"/>
      <c r="S25" s="444"/>
      <c r="T25" s="444"/>
      <c r="U25" s="444"/>
      <c r="V25" s="444"/>
    </row>
    <row r="26" spans="1:23" s="88" customFormat="1" ht="30" customHeight="1" x14ac:dyDescent="0.2">
      <c r="A26" s="577">
        <v>3112</v>
      </c>
      <c r="B26" s="1346" t="s">
        <v>128</v>
      </c>
      <c r="C26" s="1347"/>
      <c r="D26" s="415">
        <v>727</v>
      </c>
      <c r="E26" s="793">
        <v>972</v>
      </c>
      <c r="F26" s="415">
        <v>972</v>
      </c>
      <c r="G26" s="118">
        <v>740.6</v>
      </c>
      <c r="H26" s="852">
        <v>588.41999999999996</v>
      </c>
      <c r="I26" s="968">
        <v>689</v>
      </c>
      <c r="J26" s="1076">
        <v>0</v>
      </c>
      <c r="K26" s="1076">
        <v>0</v>
      </c>
      <c r="L26" s="1046">
        <f t="shared" ref="L26:L37" si="7">SUM(I26:K26)</f>
        <v>689</v>
      </c>
      <c r="M26" s="605">
        <f t="shared" ref="M26:M37" si="8">L26/F26*100</f>
        <v>70.884773662551439</v>
      </c>
      <c r="N26" s="606">
        <f t="shared" ref="N26:N37" si="9">L26/G26*100</f>
        <v>93.0326762084796</v>
      </c>
      <c r="O26" s="838"/>
      <c r="P26" s="87"/>
      <c r="Q26" s="87"/>
      <c r="R26" s="87"/>
      <c r="S26" s="87"/>
      <c r="T26" s="87"/>
      <c r="U26" s="87"/>
      <c r="V26" s="87"/>
    </row>
    <row r="27" spans="1:23" s="88" customFormat="1" ht="30" customHeight="1" x14ac:dyDescent="0.2">
      <c r="A27" s="577">
        <v>3114</v>
      </c>
      <c r="B27" s="1346" t="s">
        <v>129</v>
      </c>
      <c r="C27" s="1347"/>
      <c r="D27" s="415">
        <v>23842</v>
      </c>
      <c r="E27" s="793">
        <v>26686.47</v>
      </c>
      <c r="F27" s="415">
        <v>26611</v>
      </c>
      <c r="G27" s="118">
        <v>20581.91</v>
      </c>
      <c r="H27" s="852">
        <v>16136.96</v>
      </c>
      <c r="I27" s="968">
        <v>19059</v>
      </c>
      <c r="J27" s="1076">
        <v>0</v>
      </c>
      <c r="K27" s="1076">
        <v>0</v>
      </c>
      <c r="L27" s="1046">
        <f t="shared" si="7"/>
        <v>19059</v>
      </c>
      <c r="M27" s="605">
        <f t="shared" si="8"/>
        <v>71.620758333020191</v>
      </c>
      <c r="N27" s="606">
        <f t="shared" si="9"/>
        <v>92.600735305906994</v>
      </c>
      <c r="O27" s="838"/>
      <c r="P27" s="87"/>
      <c r="Q27" s="87"/>
      <c r="R27" s="87"/>
      <c r="S27" s="87"/>
      <c r="T27" s="87"/>
      <c r="U27" s="87"/>
      <c r="V27" s="87"/>
    </row>
    <row r="28" spans="1:23" s="88" customFormat="1" ht="20.100000000000001" customHeight="1" x14ac:dyDescent="0.2">
      <c r="A28" s="577">
        <v>3121</v>
      </c>
      <c r="B28" s="1346" t="s">
        <v>115</v>
      </c>
      <c r="C28" s="1347"/>
      <c r="D28" s="415">
        <v>57686</v>
      </c>
      <c r="E28" s="793">
        <v>55541.58</v>
      </c>
      <c r="F28" s="415">
        <v>54821</v>
      </c>
      <c r="G28" s="118">
        <v>43920.82</v>
      </c>
      <c r="H28" s="852">
        <v>34349.019999999997</v>
      </c>
      <c r="I28" s="968">
        <v>41405</v>
      </c>
      <c r="J28" s="1076">
        <v>0</v>
      </c>
      <c r="K28" s="1076">
        <v>0</v>
      </c>
      <c r="L28" s="1046">
        <f t="shared" si="7"/>
        <v>41405</v>
      </c>
      <c r="M28" s="605">
        <f t="shared" si="8"/>
        <v>75.527626274602795</v>
      </c>
      <c r="N28" s="606">
        <f t="shared" si="9"/>
        <v>94.271919331196457</v>
      </c>
      <c r="O28" s="838"/>
      <c r="P28" s="87"/>
      <c r="Q28" s="87"/>
      <c r="R28" s="87"/>
      <c r="S28" s="87"/>
      <c r="T28" s="87"/>
      <c r="U28" s="87"/>
      <c r="V28" s="87"/>
    </row>
    <row r="29" spans="1:23" s="88" customFormat="1" ht="20.100000000000001" customHeight="1" x14ac:dyDescent="0.2">
      <c r="A29" s="577">
        <v>3122</v>
      </c>
      <c r="B29" s="1346" t="s">
        <v>116</v>
      </c>
      <c r="C29" s="1347"/>
      <c r="D29" s="415">
        <v>119055</v>
      </c>
      <c r="E29" s="793">
        <v>124377.85</v>
      </c>
      <c r="F29" s="415">
        <v>123103</v>
      </c>
      <c r="G29" s="118">
        <v>89085.9</v>
      </c>
      <c r="H29" s="852">
        <v>66982.880000000005</v>
      </c>
      <c r="I29" s="968">
        <v>82501</v>
      </c>
      <c r="J29" s="1076">
        <v>0</v>
      </c>
      <c r="K29" s="1076">
        <v>0</v>
      </c>
      <c r="L29" s="1046">
        <f t="shared" si="7"/>
        <v>82501</v>
      </c>
      <c r="M29" s="605">
        <f t="shared" si="8"/>
        <v>67.017863090257762</v>
      </c>
      <c r="N29" s="606">
        <f t="shared" si="9"/>
        <v>92.608370123667157</v>
      </c>
      <c r="O29" s="838"/>
      <c r="P29" s="87"/>
      <c r="Q29" s="87"/>
      <c r="R29" s="87"/>
      <c r="S29" s="87"/>
      <c r="T29" s="87"/>
      <c r="U29" s="87"/>
      <c r="V29" s="87"/>
    </row>
    <row r="30" spans="1:23" s="88" customFormat="1" ht="30" customHeight="1" x14ac:dyDescent="0.2">
      <c r="A30" s="577">
        <v>3123</v>
      </c>
      <c r="B30" s="1346" t="s">
        <v>130</v>
      </c>
      <c r="C30" s="1347"/>
      <c r="D30" s="415">
        <v>143556</v>
      </c>
      <c r="E30" s="793">
        <v>117409.63</v>
      </c>
      <c r="F30" s="415">
        <v>114922</v>
      </c>
      <c r="G30" s="118">
        <v>87904.21</v>
      </c>
      <c r="H30" s="852">
        <v>67548.09</v>
      </c>
      <c r="I30" s="968">
        <v>78544</v>
      </c>
      <c r="J30" s="1076">
        <v>0</v>
      </c>
      <c r="K30" s="1076">
        <v>0</v>
      </c>
      <c r="L30" s="1046">
        <f t="shared" si="7"/>
        <v>78544</v>
      </c>
      <c r="M30" s="605">
        <f t="shared" si="8"/>
        <v>68.345486503889603</v>
      </c>
      <c r="N30" s="606">
        <f t="shared" si="9"/>
        <v>89.351806927108484</v>
      </c>
      <c r="O30" s="838"/>
      <c r="P30" s="87"/>
      <c r="Q30" s="87"/>
      <c r="R30" s="87"/>
      <c r="S30" s="87"/>
      <c r="T30" s="87"/>
      <c r="U30" s="87"/>
      <c r="V30" s="87"/>
    </row>
    <row r="31" spans="1:23" s="88" customFormat="1" ht="28.5" customHeight="1" x14ac:dyDescent="0.2">
      <c r="A31" s="577">
        <v>3125</v>
      </c>
      <c r="B31" s="1346" t="s">
        <v>248</v>
      </c>
      <c r="C31" s="1347"/>
      <c r="D31" s="415">
        <v>1890</v>
      </c>
      <c r="E31" s="793">
        <v>2433</v>
      </c>
      <c r="F31" s="415">
        <v>1743</v>
      </c>
      <c r="G31" s="118">
        <v>2433</v>
      </c>
      <c r="H31" s="852">
        <v>1767.3</v>
      </c>
      <c r="I31" s="968">
        <v>2263</v>
      </c>
      <c r="J31" s="1076">
        <v>0</v>
      </c>
      <c r="K31" s="1076">
        <v>0</v>
      </c>
      <c r="L31" s="1046">
        <f t="shared" ref="L31" si="10">SUM(I31:K31)</f>
        <v>2263</v>
      </c>
      <c r="M31" s="605">
        <f t="shared" si="8"/>
        <v>129.83362019506598</v>
      </c>
      <c r="N31" s="606">
        <f t="shared" si="9"/>
        <v>93.012741471434452</v>
      </c>
      <c r="O31" s="838"/>
      <c r="P31" s="87"/>
      <c r="Q31" s="87"/>
      <c r="R31" s="87"/>
      <c r="S31" s="87"/>
      <c r="T31" s="87"/>
      <c r="U31" s="87"/>
      <c r="V31" s="87"/>
    </row>
    <row r="32" spans="1:23" s="88" customFormat="1" ht="20.100000000000001" customHeight="1" x14ac:dyDescent="0.2">
      <c r="A32" s="577">
        <v>3133</v>
      </c>
      <c r="B32" s="1346" t="s">
        <v>117</v>
      </c>
      <c r="C32" s="1347"/>
      <c r="D32" s="415">
        <v>12422</v>
      </c>
      <c r="E32" s="793">
        <v>12356</v>
      </c>
      <c r="F32" s="415">
        <v>12356</v>
      </c>
      <c r="G32" s="118">
        <v>9693.0400000000009</v>
      </c>
      <c r="H32" s="852">
        <v>7440.01</v>
      </c>
      <c r="I32" s="968">
        <v>8917</v>
      </c>
      <c r="J32" s="1076">
        <v>0</v>
      </c>
      <c r="K32" s="1076">
        <v>0</v>
      </c>
      <c r="L32" s="1046">
        <f t="shared" ref="L32" si="11">SUM(I32:K32)</f>
        <v>8917</v>
      </c>
      <c r="M32" s="605">
        <f t="shared" si="8"/>
        <v>72.167368080284874</v>
      </c>
      <c r="N32" s="606">
        <f t="shared" si="9"/>
        <v>91.993843004877718</v>
      </c>
      <c r="O32" s="838"/>
      <c r="P32" s="87"/>
      <c r="Q32" s="87"/>
      <c r="R32" s="87"/>
      <c r="S32" s="87"/>
      <c r="T32" s="87"/>
      <c r="U32" s="87"/>
      <c r="V32" s="87"/>
    </row>
    <row r="33" spans="1:22" s="88" customFormat="1" ht="20.100000000000001" customHeight="1" x14ac:dyDescent="0.2">
      <c r="A33" s="577">
        <v>3146</v>
      </c>
      <c r="B33" s="1346" t="s">
        <v>131</v>
      </c>
      <c r="C33" s="1347"/>
      <c r="D33" s="415">
        <v>1959</v>
      </c>
      <c r="E33" s="793">
        <v>1761</v>
      </c>
      <c r="F33" s="415">
        <v>1761</v>
      </c>
      <c r="G33" s="118">
        <v>2237.44</v>
      </c>
      <c r="H33" s="852">
        <v>1797.24</v>
      </c>
      <c r="I33" s="968">
        <v>2081</v>
      </c>
      <c r="J33" s="1076">
        <v>0</v>
      </c>
      <c r="K33" s="1076">
        <v>0</v>
      </c>
      <c r="L33" s="1046">
        <f t="shared" si="7"/>
        <v>2081</v>
      </c>
      <c r="M33" s="605">
        <f t="shared" si="8"/>
        <v>118.17149346961952</v>
      </c>
      <c r="N33" s="606">
        <f t="shared" si="9"/>
        <v>93.008080663615559</v>
      </c>
      <c r="O33" s="838"/>
      <c r="P33" s="87"/>
      <c r="Q33" s="87"/>
      <c r="R33" s="87"/>
      <c r="S33" s="87"/>
      <c r="T33" s="87"/>
      <c r="U33" s="87"/>
      <c r="V33" s="87"/>
    </row>
    <row r="34" spans="1:22" s="88" customFormat="1" ht="20.100000000000001" customHeight="1" x14ac:dyDescent="0.2">
      <c r="A34" s="577">
        <v>3231</v>
      </c>
      <c r="B34" s="1346" t="s">
        <v>132</v>
      </c>
      <c r="C34" s="1347"/>
      <c r="D34" s="415">
        <v>5859</v>
      </c>
      <c r="E34" s="793">
        <v>5239.42</v>
      </c>
      <c r="F34" s="415">
        <v>5667</v>
      </c>
      <c r="G34" s="118">
        <v>4248.26</v>
      </c>
      <c r="H34" s="852">
        <v>2640.82</v>
      </c>
      <c r="I34" s="968">
        <v>2983</v>
      </c>
      <c r="J34" s="1076">
        <v>0</v>
      </c>
      <c r="K34" s="1076">
        <v>0</v>
      </c>
      <c r="L34" s="1046">
        <f t="shared" si="7"/>
        <v>2983</v>
      </c>
      <c r="M34" s="605">
        <f t="shared" si="8"/>
        <v>52.638080112934539</v>
      </c>
      <c r="N34" s="606">
        <f t="shared" si="9"/>
        <v>70.216982953020761</v>
      </c>
      <c r="O34" s="838"/>
      <c r="P34" s="87"/>
      <c r="Q34" s="87"/>
      <c r="R34" s="87"/>
      <c r="S34" s="87"/>
      <c r="T34" s="87"/>
      <c r="U34" s="87"/>
      <c r="V34" s="87"/>
    </row>
    <row r="35" spans="1:22" s="88" customFormat="1" ht="20.100000000000001" customHeight="1" x14ac:dyDescent="0.2">
      <c r="A35" s="577">
        <v>3269</v>
      </c>
      <c r="B35" s="1346" t="s">
        <v>133</v>
      </c>
      <c r="C35" s="1347"/>
      <c r="D35" s="415">
        <v>0</v>
      </c>
      <c r="E35" s="793">
        <v>0</v>
      </c>
      <c r="F35" s="415">
        <v>1000</v>
      </c>
      <c r="G35" s="118">
        <v>86640.59</v>
      </c>
      <c r="H35" s="852">
        <v>0</v>
      </c>
      <c r="I35" s="968">
        <v>5314</v>
      </c>
      <c r="J35" s="1076">
        <v>0</v>
      </c>
      <c r="K35" s="1076">
        <v>0</v>
      </c>
      <c r="L35" s="1046">
        <f t="shared" si="7"/>
        <v>5314</v>
      </c>
      <c r="M35" s="605">
        <f t="shared" si="8"/>
        <v>531.4</v>
      </c>
      <c r="N35" s="606">
        <f t="shared" si="9"/>
        <v>6.1333839023949395</v>
      </c>
      <c r="O35" s="838"/>
      <c r="P35" s="87"/>
      <c r="Q35" s="87"/>
      <c r="R35" s="87"/>
      <c r="S35" s="87"/>
      <c r="T35" s="87"/>
      <c r="U35" s="87"/>
      <c r="V35" s="87"/>
    </row>
    <row r="36" spans="1:22" s="88" customFormat="1" ht="30" customHeight="1" x14ac:dyDescent="0.2">
      <c r="A36" s="577" t="s">
        <v>134</v>
      </c>
      <c r="B36" s="1346" t="s">
        <v>135</v>
      </c>
      <c r="C36" s="1347"/>
      <c r="D36" s="415">
        <v>1740</v>
      </c>
      <c r="E36" s="793">
        <v>1090</v>
      </c>
      <c r="F36" s="415">
        <v>1090</v>
      </c>
      <c r="G36" s="118">
        <v>693.48</v>
      </c>
      <c r="H36" s="852">
        <v>553.1</v>
      </c>
      <c r="I36" s="968">
        <v>645</v>
      </c>
      <c r="J36" s="1076">
        <v>0</v>
      </c>
      <c r="K36" s="1076">
        <v>0</v>
      </c>
      <c r="L36" s="1046">
        <f t="shared" si="7"/>
        <v>645</v>
      </c>
      <c r="M36" s="605">
        <f t="shared" si="8"/>
        <v>59.174311926605505</v>
      </c>
      <c r="N36" s="606">
        <f t="shared" si="9"/>
        <v>93.009171136874897</v>
      </c>
      <c r="O36" s="838"/>
      <c r="P36" s="87"/>
      <c r="Q36" s="87"/>
      <c r="R36" s="87"/>
      <c r="S36" s="87"/>
      <c r="T36" s="87"/>
      <c r="U36" s="87"/>
      <c r="V36" s="87"/>
    </row>
    <row r="37" spans="1:22" s="88" customFormat="1" ht="20.100000000000001" customHeight="1" x14ac:dyDescent="0.2">
      <c r="A37" s="577">
        <v>3421</v>
      </c>
      <c r="B37" s="1346" t="s">
        <v>136</v>
      </c>
      <c r="C37" s="1347"/>
      <c r="D37" s="415">
        <v>8784</v>
      </c>
      <c r="E37" s="793">
        <v>10153</v>
      </c>
      <c r="F37" s="415">
        <v>10153</v>
      </c>
      <c r="G37" s="118">
        <v>6019.75</v>
      </c>
      <c r="H37" s="852">
        <v>4861.75</v>
      </c>
      <c r="I37" s="968">
        <v>5599</v>
      </c>
      <c r="J37" s="1076">
        <v>0</v>
      </c>
      <c r="K37" s="1076">
        <v>0</v>
      </c>
      <c r="L37" s="1046">
        <f t="shared" si="7"/>
        <v>5599</v>
      </c>
      <c r="M37" s="605">
        <f t="shared" si="8"/>
        <v>55.146262188515706</v>
      </c>
      <c r="N37" s="606">
        <f t="shared" si="9"/>
        <v>93.010507080858844</v>
      </c>
      <c r="O37" s="838"/>
      <c r="P37" s="87"/>
      <c r="Q37" s="87"/>
      <c r="R37" s="87"/>
      <c r="S37" s="87"/>
      <c r="T37" s="87"/>
      <c r="U37" s="87"/>
      <c r="V37" s="87"/>
    </row>
    <row r="38" spans="1:22" s="70" customFormat="1" ht="24" customHeight="1" x14ac:dyDescent="0.2">
      <c r="A38" s="1348" t="s">
        <v>139</v>
      </c>
      <c r="B38" s="1349"/>
      <c r="C38" s="1294"/>
      <c r="D38" s="447">
        <f t="shared" ref="D38:K38" si="12">SUM(D39:D47)</f>
        <v>38500</v>
      </c>
      <c r="E38" s="446">
        <f t="shared" si="12"/>
        <v>40547.760000000009</v>
      </c>
      <c r="F38" s="447">
        <f t="shared" si="12"/>
        <v>42000</v>
      </c>
      <c r="G38" s="453">
        <f t="shared" si="12"/>
        <v>45823.310000000005</v>
      </c>
      <c r="H38" s="448">
        <f t="shared" si="12"/>
        <v>31628.45</v>
      </c>
      <c r="I38" s="897">
        <f t="shared" si="12"/>
        <v>50000</v>
      </c>
      <c r="J38" s="513">
        <f t="shared" si="12"/>
        <v>0</v>
      </c>
      <c r="K38" s="1057">
        <f t="shared" si="12"/>
        <v>0</v>
      </c>
      <c r="L38" s="1020">
        <f>SUM(I38:K38)</f>
        <v>50000</v>
      </c>
      <c r="M38" s="609">
        <f t="shared" si="3"/>
        <v>119.04761904761905</v>
      </c>
      <c r="N38" s="610">
        <f t="shared" si="4"/>
        <v>109.11477149948354</v>
      </c>
      <c r="O38" s="838"/>
      <c r="P38" s="444"/>
      <c r="Q38" s="444"/>
      <c r="R38" s="444"/>
      <c r="S38" s="444"/>
      <c r="T38" s="444"/>
      <c r="U38" s="444"/>
      <c r="V38" s="444"/>
    </row>
    <row r="39" spans="1:22" s="346" customFormat="1" ht="30" customHeight="1" x14ac:dyDescent="0.2">
      <c r="A39" s="577">
        <v>3112</v>
      </c>
      <c r="B39" s="1346" t="s">
        <v>128</v>
      </c>
      <c r="C39" s="1347"/>
      <c r="D39" s="415">
        <v>298</v>
      </c>
      <c r="E39" s="120">
        <v>325.88</v>
      </c>
      <c r="F39" s="415">
        <v>350</v>
      </c>
      <c r="G39" s="118">
        <v>350.81</v>
      </c>
      <c r="H39" s="852">
        <v>250.2</v>
      </c>
      <c r="I39" s="968">
        <v>383</v>
      </c>
      <c r="J39" s="1076">
        <v>0</v>
      </c>
      <c r="K39" s="1076">
        <v>0</v>
      </c>
      <c r="L39" s="1046">
        <f t="shared" si="2"/>
        <v>383</v>
      </c>
      <c r="M39" s="605">
        <f t="shared" si="3"/>
        <v>109.42857142857143</v>
      </c>
      <c r="N39" s="606">
        <f t="shared" si="4"/>
        <v>109.17590718622617</v>
      </c>
      <c r="O39" s="838"/>
      <c r="P39" s="345"/>
      <c r="Q39" s="345"/>
      <c r="R39" s="345"/>
      <c r="S39" s="345"/>
      <c r="T39" s="345"/>
      <c r="U39" s="345"/>
      <c r="V39" s="345"/>
    </row>
    <row r="40" spans="1:22" s="102" customFormat="1" ht="30" customHeight="1" x14ac:dyDescent="0.2">
      <c r="A40" s="577">
        <v>3114</v>
      </c>
      <c r="B40" s="1346" t="s">
        <v>129</v>
      </c>
      <c r="C40" s="1347"/>
      <c r="D40" s="415">
        <v>3859</v>
      </c>
      <c r="E40" s="120">
        <v>4092.2</v>
      </c>
      <c r="F40" s="415">
        <v>4491</v>
      </c>
      <c r="G40" s="118">
        <v>4278.3900000000003</v>
      </c>
      <c r="H40" s="852">
        <v>3158.91</v>
      </c>
      <c r="I40" s="968">
        <v>4668</v>
      </c>
      <c r="J40" s="1076">
        <v>0</v>
      </c>
      <c r="K40" s="1076">
        <v>0</v>
      </c>
      <c r="L40" s="1046">
        <f t="shared" si="2"/>
        <v>4668</v>
      </c>
      <c r="M40" s="605">
        <f t="shared" si="3"/>
        <v>103.94121576486306</v>
      </c>
      <c r="N40" s="606">
        <f t="shared" si="4"/>
        <v>109.10646294517331</v>
      </c>
      <c r="O40" s="838"/>
      <c r="P40" s="158"/>
      <c r="Q40" s="158"/>
      <c r="R40" s="158"/>
      <c r="S40" s="158"/>
      <c r="T40" s="158"/>
      <c r="U40" s="158"/>
      <c r="V40" s="158"/>
    </row>
    <row r="41" spans="1:22" s="102" customFormat="1" ht="20.100000000000001" customHeight="1" x14ac:dyDescent="0.2">
      <c r="A41" s="577">
        <v>3121</v>
      </c>
      <c r="B41" s="1346" t="s">
        <v>115</v>
      </c>
      <c r="C41" s="1347"/>
      <c r="D41" s="415">
        <v>11462</v>
      </c>
      <c r="E41" s="120">
        <v>11968.46</v>
      </c>
      <c r="F41" s="415">
        <v>12601</v>
      </c>
      <c r="G41" s="118">
        <v>12914.14</v>
      </c>
      <c r="H41" s="852">
        <v>9060.7999999999993</v>
      </c>
      <c r="I41" s="968">
        <v>13885</v>
      </c>
      <c r="J41" s="1076">
        <v>0</v>
      </c>
      <c r="K41" s="1076">
        <v>0</v>
      </c>
      <c r="L41" s="1046">
        <f t="shared" si="2"/>
        <v>13885</v>
      </c>
      <c r="M41" s="605">
        <f t="shared" si="3"/>
        <v>110.18966748670739</v>
      </c>
      <c r="N41" s="606">
        <f t="shared" si="4"/>
        <v>107.51780606374099</v>
      </c>
      <c r="O41" s="838"/>
      <c r="P41" s="158"/>
      <c r="Q41" s="158"/>
      <c r="R41" s="158"/>
      <c r="S41" s="158"/>
      <c r="T41" s="158"/>
      <c r="U41" s="158"/>
      <c r="V41" s="158"/>
    </row>
    <row r="42" spans="1:22" s="102" customFormat="1" ht="20.100000000000001" customHeight="1" x14ac:dyDescent="0.2">
      <c r="A42" s="577">
        <v>3122</v>
      </c>
      <c r="B42" s="1346" t="s">
        <v>116</v>
      </c>
      <c r="C42" s="1347"/>
      <c r="D42" s="415">
        <v>6023</v>
      </c>
      <c r="E42" s="120">
        <v>6430.6</v>
      </c>
      <c r="F42" s="415">
        <v>6648</v>
      </c>
      <c r="G42" s="118">
        <v>8731.48</v>
      </c>
      <c r="H42" s="852">
        <v>5458.2</v>
      </c>
      <c r="I42" s="968">
        <v>10011</v>
      </c>
      <c r="J42" s="1076">
        <v>0</v>
      </c>
      <c r="K42" s="1076">
        <v>0</v>
      </c>
      <c r="L42" s="1046">
        <f t="shared" si="2"/>
        <v>10011</v>
      </c>
      <c r="M42" s="605">
        <f t="shared" si="3"/>
        <v>150.58664259927798</v>
      </c>
      <c r="N42" s="606">
        <f t="shared" si="4"/>
        <v>114.65410216824641</v>
      </c>
      <c r="O42" s="838"/>
      <c r="P42" s="158"/>
      <c r="Q42" s="158"/>
      <c r="R42" s="158"/>
      <c r="S42" s="158"/>
      <c r="T42" s="158"/>
      <c r="U42" s="158"/>
      <c r="V42" s="158"/>
    </row>
    <row r="43" spans="1:22" s="102" customFormat="1" ht="31.5" customHeight="1" x14ac:dyDescent="0.2">
      <c r="A43" s="577">
        <v>3123</v>
      </c>
      <c r="B43" s="1346" t="s">
        <v>130</v>
      </c>
      <c r="C43" s="1347"/>
      <c r="D43" s="415">
        <v>9834</v>
      </c>
      <c r="E43" s="120">
        <v>10888.68</v>
      </c>
      <c r="F43" s="415">
        <v>11337</v>
      </c>
      <c r="G43" s="118">
        <v>11282.38</v>
      </c>
      <c r="H43" s="852">
        <v>8265.35</v>
      </c>
      <c r="I43" s="968">
        <v>12033</v>
      </c>
      <c r="J43" s="1076">
        <v>0</v>
      </c>
      <c r="K43" s="1076">
        <v>0</v>
      </c>
      <c r="L43" s="1046">
        <f t="shared" si="2"/>
        <v>12033</v>
      </c>
      <c r="M43" s="605">
        <f t="shared" si="3"/>
        <v>106.13919026197406</v>
      </c>
      <c r="N43" s="606">
        <f t="shared" si="4"/>
        <v>106.65302888220394</v>
      </c>
      <c r="O43" s="838"/>
      <c r="P43" s="158"/>
      <c r="Q43" s="158"/>
      <c r="R43" s="158"/>
      <c r="S43" s="158"/>
      <c r="T43" s="158"/>
      <c r="U43" s="158"/>
      <c r="V43" s="158"/>
    </row>
    <row r="44" spans="1:22" s="102" customFormat="1" ht="20.100000000000001" customHeight="1" x14ac:dyDescent="0.2">
      <c r="A44" s="577">
        <v>3146</v>
      </c>
      <c r="B44" s="1346" t="s">
        <v>131</v>
      </c>
      <c r="C44" s="1347"/>
      <c r="D44" s="415">
        <v>1835</v>
      </c>
      <c r="E44" s="120">
        <v>2316.8000000000002</v>
      </c>
      <c r="F44" s="415">
        <v>2082</v>
      </c>
      <c r="G44" s="118">
        <v>3795.58</v>
      </c>
      <c r="H44" s="852">
        <v>2283.6</v>
      </c>
      <c r="I44" s="968">
        <v>4142</v>
      </c>
      <c r="J44" s="1076">
        <v>0</v>
      </c>
      <c r="K44" s="1076">
        <v>0</v>
      </c>
      <c r="L44" s="1046">
        <f t="shared" si="2"/>
        <v>4142</v>
      </c>
      <c r="M44" s="605">
        <f t="shared" si="3"/>
        <v>198.9433237271854</v>
      </c>
      <c r="N44" s="606">
        <f t="shared" si="4"/>
        <v>109.12693185231244</v>
      </c>
      <c r="O44" s="838"/>
      <c r="P44" s="158"/>
      <c r="Q44" s="158"/>
      <c r="R44" s="158"/>
      <c r="S44" s="158"/>
      <c r="T44" s="158"/>
      <c r="U44" s="158"/>
      <c r="V44" s="158"/>
    </row>
    <row r="45" spans="1:22" s="102" customFormat="1" ht="20.100000000000001" customHeight="1" x14ac:dyDescent="0.2">
      <c r="A45" s="577">
        <v>3231</v>
      </c>
      <c r="B45" s="1346" t="s">
        <v>132</v>
      </c>
      <c r="C45" s="1347"/>
      <c r="D45" s="415">
        <v>3406</v>
      </c>
      <c r="E45" s="120">
        <v>2671.69</v>
      </c>
      <c r="F45" s="415">
        <v>2498</v>
      </c>
      <c r="G45" s="118">
        <v>2375.5500000000002</v>
      </c>
      <c r="H45" s="852">
        <v>1774.29</v>
      </c>
      <c r="I45" s="968">
        <v>2592</v>
      </c>
      <c r="J45" s="1076">
        <v>0</v>
      </c>
      <c r="K45" s="1076">
        <v>0</v>
      </c>
      <c r="L45" s="1046">
        <f t="shared" si="2"/>
        <v>2592</v>
      </c>
      <c r="M45" s="605">
        <f t="shared" si="3"/>
        <v>103.76301040832665</v>
      </c>
      <c r="N45" s="606">
        <f t="shared" si="4"/>
        <v>109.11157416177306</v>
      </c>
      <c r="O45" s="838"/>
      <c r="P45" s="158"/>
      <c r="Q45" s="158"/>
      <c r="R45" s="158"/>
      <c r="S45" s="158"/>
      <c r="T45" s="158"/>
      <c r="U45" s="158"/>
      <c r="V45" s="158"/>
    </row>
    <row r="46" spans="1:22" s="102" customFormat="1" ht="30" customHeight="1" x14ac:dyDescent="0.2">
      <c r="A46" s="577" t="s">
        <v>134</v>
      </c>
      <c r="B46" s="1346" t="s">
        <v>135</v>
      </c>
      <c r="C46" s="1347"/>
      <c r="D46" s="415">
        <v>722</v>
      </c>
      <c r="E46" s="120">
        <v>681.29</v>
      </c>
      <c r="F46" s="415">
        <v>733</v>
      </c>
      <c r="G46" s="118">
        <v>922.83</v>
      </c>
      <c r="H46" s="852">
        <v>510.9</v>
      </c>
      <c r="I46" s="968">
        <v>1007</v>
      </c>
      <c r="J46" s="1076">
        <v>0</v>
      </c>
      <c r="K46" s="1076">
        <v>0</v>
      </c>
      <c r="L46" s="1046">
        <f t="shared" ref="L46:L47" si="13">SUM(I46:K46)</f>
        <v>1007</v>
      </c>
      <c r="M46" s="605">
        <f t="shared" si="3"/>
        <v>137.38062755798092</v>
      </c>
      <c r="N46" s="606">
        <f t="shared" si="4"/>
        <v>109.12085649577928</v>
      </c>
      <c r="O46" s="838"/>
      <c r="P46" s="158"/>
      <c r="Q46" s="158"/>
      <c r="R46" s="158"/>
      <c r="S46" s="158"/>
      <c r="T46" s="158"/>
      <c r="U46" s="158"/>
      <c r="V46" s="158"/>
    </row>
    <row r="47" spans="1:22" s="102" customFormat="1" ht="20.100000000000001" customHeight="1" x14ac:dyDescent="0.2">
      <c r="A47" s="577">
        <v>3421</v>
      </c>
      <c r="B47" s="1346" t="s">
        <v>136</v>
      </c>
      <c r="C47" s="1347"/>
      <c r="D47" s="415">
        <v>1061</v>
      </c>
      <c r="E47" s="120">
        <v>1172.1600000000001</v>
      </c>
      <c r="F47" s="415">
        <v>1260</v>
      </c>
      <c r="G47" s="118">
        <v>1172.1500000000001</v>
      </c>
      <c r="H47" s="852">
        <v>866.2</v>
      </c>
      <c r="I47" s="968">
        <v>1279</v>
      </c>
      <c r="J47" s="1076">
        <v>0</v>
      </c>
      <c r="K47" s="1076">
        <v>0</v>
      </c>
      <c r="L47" s="1046">
        <f t="shared" si="13"/>
        <v>1279</v>
      </c>
      <c r="M47" s="605">
        <f t="shared" si="3"/>
        <v>101.50793650793651</v>
      </c>
      <c r="N47" s="606">
        <f t="shared" si="4"/>
        <v>109.1157275092778</v>
      </c>
      <c r="O47" s="838"/>
      <c r="P47" s="158"/>
      <c r="Q47" s="158"/>
      <c r="R47" s="158"/>
      <c r="S47" s="158"/>
      <c r="T47" s="158"/>
      <c r="U47" s="158"/>
      <c r="V47" s="158"/>
    </row>
    <row r="48" spans="1:22" s="70" customFormat="1" ht="24" customHeight="1" x14ac:dyDescent="0.2">
      <c r="A48" s="1348" t="s">
        <v>141</v>
      </c>
      <c r="B48" s="1349"/>
      <c r="C48" s="1294"/>
      <c r="D48" s="447">
        <f t="shared" ref="D48:K48" si="14">SUM(D49:D57)</f>
        <v>62000</v>
      </c>
      <c r="E48" s="446">
        <f t="shared" si="14"/>
        <v>52644.6</v>
      </c>
      <c r="F48" s="447">
        <f t="shared" si="14"/>
        <v>62000</v>
      </c>
      <c r="G48" s="453">
        <f t="shared" si="14"/>
        <v>72076.97</v>
      </c>
      <c r="H48" s="448">
        <f t="shared" si="14"/>
        <v>22634.870000000003</v>
      </c>
      <c r="I48" s="897">
        <f t="shared" si="14"/>
        <v>39000</v>
      </c>
      <c r="J48" s="513">
        <f t="shared" si="14"/>
        <v>13000</v>
      </c>
      <c r="K48" s="1057">
        <f t="shared" si="14"/>
        <v>10000</v>
      </c>
      <c r="L48" s="1020">
        <f>SUM(I48:K48)</f>
        <v>62000</v>
      </c>
      <c r="M48" s="609">
        <f t="shared" si="3"/>
        <v>100</v>
      </c>
      <c r="N48" s="610">
        <f t="shared" si="4"/>
        <v>86.019154245801403</v>
      </c>
      <c r="O48" s="838"/>
      <c r="P48" s="444"/>
      <c r="Q48" s="444"/>
      <c r="R48" s="444"/>
      <c r="S48" s="444"/>
      <c r="T48" s="444"/>
      <c r="U48" s="444"/>
      <c r="V48" s="444"/>
    </row>
    <row r="49" spans="1:22" s="102" customFormat="1" ht="30.75" customHeight="1" x14ac:dyDescent="0.2">
      <c r="A49" s="599">
        <v>3114</v>
      </c>
      <c r="B49" s="1346" t="s">
        <v>129</v>
      </c>
      <c r="C49" s="1347"/>
      <c r="D49" s="431">
        <v>0</v>
      </c>
      <c r="E49" s="430">
        <v>3338.28</v>
      </c>
      <c r="F49" s="431">
        <v>0</v>
      </c>
      <c r="G49" s="432">
        <v>6493.18</v>
      </c>
      <c r="H49" s="433">
        <v>3015.17</v>
      </c>
      <c r="I49" s="968">
        <v>0</v>
      </c>
      <c r="J49" s="1076">
        <v>0</v>
      </c>
      <c r="K49" s="1076">
        <v>0</v>
      </c>
      <c r="L49" s="1046">
        <f t="shared" si="2"/>
        <v>0</v>
      </c>
      <c r="M49" s="605" t="s">
        <v>60</v>
      </c>
      <c r="N49" s="606">
        <f t="shared" si="4"/>
        <v>0</v>
      </c>
      <c r="O49" s="838"/>
      <c r="P49" s="158"/>
      <c r="Q49" s="158"/>
      <c r="R49" s="158"/>
      <c r="S49" s="158"/>
      <c r="T49" s="158"/>
      <c r="U49" s="158"/>
      <c r="V49" s="158"/>
    </row>
    <row r="50" spans="1:22" s="102" customFormat="1" ht="20.100000000000001" customHeight="1" x14ac:dyDescent="0.2">
      <c r="A50" s="599">
        <v>3121</v>
      </c>
      <c r="B50" s="1346" t="s">
        <v>115</v>
      </c>
      <c r="C50" s="1347"/>
      <c r="D50" s="431">
        <v>0</v>
      </c>
      <c r="E50" s="430">
        <v>25190.05</v>
      </c>
      <c r="F50" s="431">
        <v>0</v>
      </c>
      <c r="G50" s="432">
        <v>6351.21</v>
      </c>
      <c r="H50" s="433">
        <v>3957.07</v>
      </c>
      <c r="I50" s="968">
        <v>0</v>
      </c>
      <c r="J50" s="1076">
        <v>0</v>
      </c>
      <c r="K50" s="1076">
        <v>0</v>
      </c>
      <c r="L50" s="1046">
        <f t="shared" si="2"/>
        <v>0</v>
      </c>
      <c r="M50" s="605" t="s">
        <v>60</v>
      </c>
      <c r="N50" s="606">
        <f t="shared" si="4"/>
        <v>0</v>
      </c>
      <c r="O50" s="838"/>
      <c r="P50" s="158"/>
      <c r="Q50" s="158"/>
      <c r="R50" s="158"/>
      <c r="S50" s="158"/>
      <c r="T50" s="158"/>
      <c r="U50" s="158"/>
      <c r="V50" s="158"/>
    </row>
    <row r="51" spans="1:22" s="102" customFormat="1" ht="20.100000000000001" customHeight="1" x14ac:dyDescent="0.2">
      <c r="A51" s="599">
        <v>3122</v>
      </c>
      <c r="B51" s="1346" t="s">
        <v>116</v>
      </c>
      <c r="C51" s="1347"/>
      <c r="D51" s="431">
        <v>0</v>
      </c>
      <c r="E51" s="430">
        <v>4940.03</v>
      </c>
      <c r="F51" s="431">
        <v>0</v>
      </c>
      <c r="G51" s="432">
        <v>24994</v>
      </c>
      <c r="H51" s="433">
        <v>9420.16</v>
      </c>
      <c r="I51" s="968">
        <v>0</v>
      </c>
      <c r="J51" s="1076">
        <v>0</v>
      </c>
      <c r="K51" s="1076">
        <v>0</v>
      </c>
      <c r="L51" s="1046">
        <f t="shared" si="2"/>
        <v>0</v>
      </c>
      <c r="M51" s="605" t="s">
        <v>60</v>
      </c>
      <c r="N51" s="606">
        <f t="shared" si="4"/>
        <v>0</v>
      </c>
      <c r="O51" s="838"/>
      <c r="P51" s="158"/>
      <c r="Q51" s="158"/>
      <c r="R51" s="158"/>
      <c r="S51" s="158"/>
      <c r="T51" s="158"/>
      <c r="U51" s="158"/>
      <c r="V51" s="158"/>
    </row>
    <row r="52" spans="1:22" s="102" customFormat="1" ht="30.75" customHeight="1" x14ac:dyDescent="0.2">
      <c r="A52" s="599">
        <v>3123</v>
      </c>
      <c r="B52" s="1346" t="s">
        <v>130</v>
      </c>
      <c r="C52" s="1347"/>
      <c r="D52" s="431">
        <v>0</v>
      </c>
      <c r="E52" s="430">
        <v>13328.96</v>
      </c>
      <c r="F52" s="431">
        <v>0</v>
      </c>
      <c r="G52" s="432">
        <v>19742.2</v>
      </c>
      <c r="H52" s="433">
        <v>5849.89</v>
      </c>
      <c r="I52" s="968">
        <v>0</v>
      </c>
      <c r="J52" s="1076">
        <v>0</v>
      </c>
      <c r="K52" s="1076">
        <v>0</v>
      </c>
      <c r="L52" s="1046">
        <f t="shared" si="2"/>
        <v>0</v>
      </c>
      <c r="M52" s="605" t="s">
        <v>60</v>
      </c>
      <c r="N52" s="606">
        <f t="shared" si="4"/>
        <v>0</v>
      </c>
      <c r="O52" s="838"/>
      <c r="P52" s="158"/>
      <c r="Q52" s="158"/>
      <c r="R52" s="158"/>
      <c r="S52" s="158"/>
      <c r="T52" s="158"/>
      <c r="U52" s="158"/>
      <c r="V52" s="158"/>
    </row>
    <row r="53" spans="1:22" s="102" customFormat="1" ht="30" customHeight="1" x14ac:dyDescent="0.2">
      <c r="A53" s="599">
        <v>3125</v>
      </c>
      <c r="B53" s="1346" t="s">
        <v>248</v>
      </c>
      <c r="C53" s="1347"/>
      <c r="D53" s="431">
        <v>0</v>
      </c>
      <c r="E53" s="430">
        <v>129</v>
      </c>
      <c r="F53" s="431">
        <v>0</v>
      </c>
      <c r="G53" s="432">
        <v>3655</v>
      </c>
      <c r="H53" s="433">
        <v>392.58</v>
      </c>
      <c r="I53" s="968">
        <v>0</v>
      </c>
      <c r="J53" s="1076">
        <v>0</v>
      </c>
      <c r="K53" s="1076">
        <v>0</v>
      </c>
      <c r="L53" s="1046">
        <f t="shared" si="2"/>
        <v>0</v>
      </c>
      <c r="M53" s="605" t="s">
        <v>60</v>
      </c>
      <c r="N53" s="606">
        <f t="shared" si="4"/>
        <v>0</v>
      </c>
      <c r="O53" s="838"/>
      <c r="P53" s="158"/>
      <c r="Q53" s="158"/>
      <c r="R53" s="158"/>
      <c r="S53" s="158"/>
      <c r="T53" s="158"/>
      <c r="U53" s="158"/>
      <c r="V53" s="158"/>
    </row>
    <row r="54" spans="1:22" s="102" customFormat="1" ht="20.100000000000001" customHeight="1" x14ac:dyDescent="0.2">
      <c r="A54" s="599">
        <v>3133</v>
      </c>
      <c r="B54" s="1346" t="s">
        <v>117</v>
      </c>
      <c r="C54" s="1347"/>
      <c r="D54" s="431">
        <v>0</v>
      </c>
      <c r="E54" s="430">
        <v>370.49</v>
      </c>
      <c r="F54" s="431">
        <v>0</v>
      </c>
      <c r="G54" s="432">
        <v>0</v>
      </c>
      <c r="H54" s="433">
        <v>0</v>
      </c>
      <c r="I54" s="968">
        <v>0</v>
      </c>
      <c r="J54" s="1076">
        <v>0</v>
      </c>
      <c r="K54" s="1076">
        <v>0</v>
      </c>
      <c r="L54" s="1046">
        <f t="shared" si="2"/>
        <v>0</v>
      </c>
      <c r="M54" s="605" t="s">
        <v>60</v>
      </c>
      <c r="N54" s="606" t="s">
        <v>60</v>
      </c>
      <c r="O54" s="838"/>
      <c r="P54" s="158"/>
      <c r="Q54" s="158"/>
      <c r="R54" s="158"/>
      <c r="S54" s="158"/>
      <c r="T54" s="158"/>
      <c r="U54" s="158"/>
      <c r="V54" s="158"/>
    </row>
    <row r="55" spans="1:22" s="102" customFormat="1" ht="20.100000000000001" customHeight="1" x14ac:dyDescent="0.2">
      <c r="A55" s="599">
        <v>3231</v>
      </c>
      <c r="B55" s="1346" t="s">
        <v>132</v>
      </c>
      <c r="C55" s="1347"/>
      <c r="D55" s="431">
        <v>0</v>
      </c>
      <c r="E55" s="430">
        <v>1897.93</v>
      </c>
      <c r="F55" s="431">
        <v>0</v>
      </c>
      <c r="G55" s="432">
        <v>123.21</v>
      </c>
      <c r="H55" s="433">
        <v>0</v>
      </c>
      <c r="I55" s="968">
        <v>0</v>
      </c>
      <c r="J55" s="1076">
        <v>0</v>
      </c>
      <c r="K55" s="1076">
        <v>0</v>
      </c>
      <c r="L55" s="1046">
        <f t="shared" si="2"/>
        <v>0</v>
      </c>
      <c r="M55" s="605" t="s">
        <v>60</v>
      </c>
      <c r="N55" s="606">
        <f t="shared" si="4"/>
        <v>0</v>
      </c>
      <c r="O55" s="838"/>
      <c r="P55" s="158"/>
      <c r="Q55" s="158"/>
      <c r="R55" s="158"/>
      <c r="S55" s="158"/>
      <c r="T55" s="158"/>
      <c r="U55" s="158"/>
      <c r="V55" s="158"/>
    </row>
    <row r="56" spans="1:22" s="102" customFormat="1" ht="20.100000000000001" customHeight="1" x14ac:dyDescent="0.2">
      <c r="A56" s="599">
        <v>3269</v>
      </c>
      <c r="B56" s="1346" t="s">
        <v>133</v>
      </c>
      <c r="C56" s="1347"/>
      <c r="D56" s="431">
        <v>62000</v>
      </c>
      <c r="E56" s="430">
        <v>0</v>
      </c>
      <c r="F56" s="431">
        <v>62000</v>
      </c>
      <c r="G56" s="432">
        <v>10718.17</v>
      </c>
      <c r="H56" s="433">
        <v>0</v>
      </c>
      <c r="I56" s="968">
        <v>39000</v>
      </c>
      <c r="J56" s="1076">
        <v>13000</v>
      </c>
      <c r="K56" s="1076">
        <v>10000</v>
      </c>
      <c r="L56" s="1046">
        <f t="shared" si="2"/>
        <v>62000</v>
      </c>
      <c r="M56" s="605">
        <f>L56/F56*100</f>
        <v>100</v>
      </c>
      <c r="N56" s="606">
        <f t="shared" ref="N56" si="15">L56/G56*100</f>
        <v>578.45695673795058</v>
      </c>
      <c r="O56" s="838"/>
      <c r="P56" s="158"/>
      <c r="Q56" s="158"/>
      <c r="R56" s="158"/>
      <c r="S56" s="158"/>
      <c r="T56" s="158"/>
      <c r="U56" s="158"/>
      <c r="V56" s="158"/>
    </row>
    <row r="57" spans="1:22" s="102" customFormat="1" ht="20.100000000000001" customHeight="1" x14ac:dyDescent="0.2">
      <c r="A57" s="601">
        <v>3421</v>
      </c>
      <c r="B57" s="1346" t="s">
        <v>136</v>
      </c>
      <c r="C57" s="1347"/>
      <c r="D57" s="431">
        <v>0</v>
      </c>
      <c r="E57" s="430">
        <v>3449.86</v>
      </c>
      <c r="F57" s="431">
        <v>0</v>
      </c>
      <c r="G57" s="432">
        <v>0</v>
      </c>
      <c r="H57" s="433">
        <v>0</v>
      </c>
      <c r="I57" s="968">
        <v>0</v>
      </c>
      <c r="J57" s="1076">
        <v>0</v>
      </c>
      <c r="K57" s="1076">
        <v>0</v>
      </c>
      <c r="L57" s="1046">
        <f t="shared" si="2"/>
        <v>0</v>
      </c>
      <c r="M57" s="605" t="s">
        <v>60</v>
      </c>
      <c r="N57" s="606" t="s">
        <v>60</v>
      </c>
      <c r="O57" s="838"/>
      <c r="P57" s="158"/>
      <c r="Q57" s="158"/>
      <c r="R57" s="158"/>
      <c r="S57" s="158"/>
      <c r="T57" s="158"/>
      <c r="U57" s="158"/>
      <c r="V57" s="158"/>
    </row>
    <row r="58" spans="1:22" s="88" customFormat="1" ht="15" customHeight="1" x14ac:dyDescent="0.2">
      <c r="A58" s="602" t="s">
        <v>96</v>
      </c>
      <c r="B58" s="1350" t="s">
        <v>138</v>
      </c>
      <c r="C58" s="1351"/>
      <c r="D58" s="416">
        <v>62000</v>
      </c>
      <c r="E58" s="98">
        <f>+E48</f>
        <v>52644.6</v>
      </c>
      <c r="F58" s="416">
        <v>62000</v>
      </c>
      <c r="G58" s="81">
        <f>+G48</f>
        <v>72076.97</v>
      </c>
      <c r="H58" s="81">
        <f>+H48</f>
        <v>22634.870000000003</v>
      </c>
      <c r="I58" s="83">
        <f>+I48</f>
        <v>39000</v>
      </c>
      <c r="J58" s="1014">
        <f>+J48</f>
        <v>13000</v>
      </c>
      <c r="K58" s="1014">
        <f>+K48</f>
        <v>10000</v>
      </c>
      <c r="L58" s="1011">
        <f t="shared" si="2"/>
        <v>62000</v>
      </c>
      <c r="M58" s="607">
        <f t="shared" si="3"/>
        <v>100</v>
      </c>
      <c r="N58" s="608">
        <f t="shared" si="4"/>
        <v>86.019154245801403</v>
      </c>
      <c r="O58" s="838"/>
      <c r="P58" s="87"/>
      <c r="Q58" s="87"/>
      <c r="R58" s="87"/>
      <c r="S58" s="87"/>
      <c r="T58" s="87"/>
      <c r="U58" s="87"/>
      <c r="V58" s="87"/>
    </row>
    <row r="59" spans="1:22" s="70" customFormat="1" ht="24" customHeight="1" x14ac:dyDescent="0.2">
      <c r="A59" s="1348" t="s">
        <v>380</v>
      </c>
      <c r="B59" s="1349"/>
      <c r="C59" s="1294"/>
      <c r="D59" s="456">
        <f>SUM(D60:D63)</f>
        <v>16000</v>
      </c>
      <c r="E59" s="455">
        <f>SUM(E60:E63)</f>
        <v>13067.11</v>
      </c>
      <c r="F59" s="456">
        <f t="shared" ref="F59:K59" si="16">SUM(F60:F63)</f>
        <v>13068</v>
      </c>
      <c r="G59" s="457">
        <f t="shared" si="16"/>
        <v>16604</v>
      </c>
      <c r="H59" s="458">
        <f t="shared" si="16"/>
        <v>0</v>
      </c>
      <c r="I59" s="512">
        <f t="shared" si="16"/>
        <v>0</v>
      </c>
      <c r="J59" s="834">
        <f t="shared" si="16"/>
        <v>13068</v>
      </c>
      <c r="K59" s="1028">
        <f t="shared" si="16"/>
        <v>0</v>
      </c>
      <c r="L59" s="1020">
        <f>SUM(I59:K59)</f>
        <v>13068</v>
      </c>
      <c r="M59" s="609">
        <f t="shared" si="3"/>
        <v>100</v>
      </c>
      <c r="N59" s="610">
        <f t="shared" si="4"/>
        <v>78.703926764635028</v>
      </c>
      <c r="O59" s="838"/>
      <c r="P59" s="444"/>
      <c r="Q59" s="444"/>
      <c r="R59" s="444"/>
      <c r="S59" s="444"/>
      <c r="T59" s="444"/>
      <c r="U59" s="444"/>
      <c r="V59" s="444"/>
    </row>
    <row r="60" spans="1:22" s="102" customFormat="1" ht="30" customHeight="1" x14ac:dyDescent="0.2">
      <c r="A60" s="577">
        <v>3114</v>
      </c>
      <c r="B60" s="1346" t="s">
        <v>129</v>
      </c>
      <c r="C60" s="1347"/>
      <c r="D60" s="462">
        <v>0</v>
      </c>
      <c r="E60" s="430">
        <v>400.3</v>
      </c>
      <c r="F60" s="462">
        <v>0</v>
      </c>
      <c r="G60" s="434">
        <v>0</v>
      </c>
      <c r="H60" s="463">
        <v>0</v>
      </c>
      <c r="I60" s="968">
        <v>0</v>
      </c>
      <c r="J60" s="1085">
        <v>0</v>
      </c>
      <c r="K60" s="1086">
        <v>0</v>
      </c>
      <c r="L60" s="1046">
        <f t="shared" ref="L60" si="17">SUM(I60:K60)</f>
        <v>0</v>
      </c>
      <c r="M60" s="605" t="s">
        <v>60</v>
      </c>
      <c r="N60" s="606" t="s">
        <v>60</v>
      </c>
      <c r="O60" s="838"/>
      <c r="P60" s="158"/>
      <c r="Q60" s="158"/>
      <c r="R60" s="158"/>
      <c r="S60" s="158"/>
      <c r="T60" s="158"/>
      <c r="U60" s="158"/>
      <c r="V60" s="158"/>
    </row>
    <row r="61" spans="1:22" s="102" customFormat="1" ht="20.100000000000001" customHeight="1" x14ac:dyDescent="0.2">
      <c r="A61" s="599">
        <v>3122</v>
      </c>
      <c r="B61" s="1346" t="s">
        <v>116</v>
      </c>
      <c r="C61" s="1347"/>
      <c r="D61" s="431">
        <v>0</v>
      </c>
      <c r="E61" s="430">
        <v>3431.19</v>
      </c>
      <c r="F61" s="431">
        <v>0</v>
      </c>
      <c r="G61" s="434">
        <v>0</v>
      </c>
      <c r="H61" s="435">
        <v>0</v>
      </c>
      <c r="I61" s="1087">
        <v>0</v>
      </c>
      <c r="J61" s="1085">
        <v>0</v>
      </c>
      <c r="K61" s="1086">
        <v>0</v>
      </c>
      <c r="L61" s="1046">
        <f t="shared" si="2"/>
        <v>0</v>
      </c>
      <c r="M61" s="605" t="s">
        <v>60</v>
      </c>
      <c r="N61" s="606" t="s">
        <v>60</v>
      </c>
      <c r="O61" s="838"/>
      <c r="P61" s="158"/>
      <c r="Q61" s="158"/>
      <c r="R61" s="158"/>
      <c r="S61" s="158"/>
      <c r="T61" s="158"/>
      <c r="U61" s="158"/>
      <c r="V61" s="158"/>
    </row>
    <row r="62" spans="1:22" s="102" customFormat="1" ht="30" customHeight="1" x14ac:dyDescent="0.2">
      <c r="A62" s="599">
        <v>3123</v>
      </c>
      <c r="B62" s="1346" t="s">
        <v>130</v>
      </c>
      <c r="C62" s="1347"/>
      <c r="D62" s="431">
        <v>0</v>
      </c>
      <c r="E62" s="430">
        <v>9235.6200000000008</v>
      </c>
      <c r="F62" s="431">
        <v>0</v>
      </c>
      <c r="G62" s="434">
        <v>0</v>
      </c>
      <c r="H62" s="435">
        <v>0</v>
      </c>
      <c r="I62" s="1087">
        <v>0</v>
      </c>
      <c r="J62" s="1085">
        <v>0</v>
      </c>
      <c r="K62" s="1086">
        <v>0</v>
      </c>
      <c r="L62" s="1046">
        <f t="shared" si="2"/>
        <v>0</v>
      </c>
      <c r="M62" s="605" t="s">
        <v>60</v>
      </c>
      <c r="N62" s="606" t="s">
        <v>60</v>
      </c>
      <c r="O62" s="838"/>
      <c r="P62" s="158"/>
      <c r="Q62" s="158"/>
      <c r="R62" s="158"/>
      <c r="S62" s="158"/>
      <c r="T62" s="158"/>
      <c r="U62" s="158"/>
      <c r="V62" s="158"/>
    </row>
    <row r="63" spans="1:22" s="102" customFormat="1" ht="20.100000000000001" customHeight="1" x14ac:dyDescent="0.2">
      <c r="A63" s="599">
        <v>3269</v>
      </c>
      <c r="B63" s="1346" t="s">
        <v>133</v>
      </c>
      <c r="C63" s="1347"/>
      <c r="D63" s="431">
        <v>16000</v>
      </c>
      <c r="E63" s="430">
        <v>0</v>
      </c>
      <c r="F63" s="431">
        <v>13068</v>
      </c>
      <c r="G63" s="858">
        <v>16604</v>
      </c>
      <c r="H63" s="859">
        <v>0</v>
      </c>
      <c r="I63" s="1087">
        <v>0</v>
      </c>
      <c r="J63" s="1047">
        <v>13068</v>
      </c>
      <c r="K63" s="1086">
        <v>0</v>
      </c>
      <c r="L63" s="1046">
        <f t="shared" si="2"/>
        <v>13068</v>
      </c>
      <c r="M63" s="605">
        <f t="shared" si="3"/>
        <v>100</v>
      </c>
      <c r="N63" s="606">
        <f t="shared" si="4"/>
        <v>78.703926764635028</v>
      </c>
      <c r="O63" s="838"/>
      <c r="P63" s="158"/>
      <c r="Q63" s="158"/>
      <c r="R63" s="158"/>
      <c r="S63" s="158"/>
      <c r="T63" s="158"/>
      <c r="U63" s="158"/>
      <c r="V63" s="158"/>
    </row>
    <row r="64" spans="1:22" s="70" customFormat="1" ht="24" customHeight="1" x14ac:dyDescent="0.2">
      <c r="A64" s="1348" t="s">
        <v>143</v>
      </c>
      <c r="B64" s="1349"/>
      <c r="C64" s="1294"/>
      <c r="D64" s="447">
        <f>SUM(D65:D68)</f>
        <v>1500</v>
      </c>
      <c r="E64" s="446">
        <f>SUM(E65:E68)</f>
        <v>1382.07</v>
      </c>
      <c r="F64" s="447">
        <f t="shared" ref="F64:K64" si="18">SUM(F65:F68)</f>
        <v>1500</v>
      </c>
      <c r="G64" s="453">
        <f t="shared" si="18"/>
        <v>3350</v>
      </c>
      <c r="H64" s="448">
        <f t="shared" si="18"/>
        <v>2673.87</v>
      </c>
      <c r="I64" s="512">
        <f t="shared" si="18"/>
        <v>0</v>
      </c>
      <c r="J64" s="513">
        <f t="shared" si="18"/>
        <v>0</v>
      </c>
      <c r="K64" s="1057">
        <f t="shared" si="18"/>
        <v>2000</v>
      </c>
      <c r="L64" s="1020">
        <f>SUM(I64:K64)</f>
        <v>2000</v>
      </c>
      <c r="M64" s="611">
        <f t="shared" si="3"/>
        <v>133.33333333333331</v>
      </c>
      <c r="N64" s="612">
        <f t="shared" si="4"/>
        <v>59.701492537313428</v>
      </c>
      <c r="O64" s="838"/>
      <c r="P64" s="444"/>
      <c r="Q64" s="444"/>
      <c r="R64" s="444"/>
      <c r="S64" s="444"/>
      <c r="T64" s="444"/>
      <c r="U64" s="444"/>
      <c r="V64" s="444"/>
    </row>
    <row r="65" spans="1:22" s="102" customFormat="1" ht="20.100000000000001" customHeight="1" x14ac:dyDescent="0.2">
      <c r="A65" s="577">
        <v>3121</v>
      </c>
      <c r="B65" s="1346" t="s">
        <v>115</v>
      </c>
      <c r="C65" s="1347"/>
      <c r="D65" s="462">
        <v>0</v>
      </c>
      <c r="E65" s="430">
        <v>532.52</v>
      </c>
      <c r="F65" s="462">
        <v>0</v>
      </c>
      <c r="G65" s="858">
        <v>1573.94</v>
      </c>
      <c r="H65" s="859">
        <v>1166.99</v>
      </c>
      <c r="I65" s="1088">
        <v>0</v>
      </c>
      <c r="J65" s="1047">
        <v>0</v>
      </c>
      <c r="K65" s="1047">
        <v>0</v>
      </c>
      <c r="L65" s="1046">
        <f t="shared" ref="L65" si="19">SUM(I65:K65)</f>
        <v>0</v>
      </c>
      <c r="M65" s="605" t="s">
        <v>60</v>
      </c>
      <c r="N65" s="606">
        <f t="shared" ref="N65:N67" si="20">L65/G65*100</f>
        <v>0</v>
      </c>
      <c r="O65" s="838"/>
      <c r="P65" s="158"/>
      <c r="Q65" s="158"/>
      <c r="R65" s="158"/>
      <c r="S65" s="158"/>
      <c r="T65" s="158"/>
      <c r="U65" s="158"/>
      <c r="V65" s="158"/>
    </row>
    <row r="66" spans="1:22" s="102" customFormat="1" ht="20.100000000000001" customHeight="1" x14ac:dyDescent="0.2">
      <c r="A66" s="577">
        <v>3122</v>
      </c>
      <c r="B66" s="1346" t="s">
        <v>116</v>
      </c>
      <c r="C66" s="1347"/>
      <c r="D66" s="462">
        <v>0</v>
      </c>
      <c r="E66" s="430">
        <v>440.5</v>
      </c>
      <c r="F66" s="462">
        <v>0</v>
      </c>
      <c r="G66" s="858">
        <v>956.14</v>
      </c>
      <c r="H66" s="859">
        <v>940.88</v>
      </c>
      <c r="I66" s="1088">
        <v>0</v>
      </c>
      <c r="J66" s="1047">
        <v>0</v>
      </c>
      <c r="K66" s="1047">
        <v>0</v>
      </c>
      <c r="L66" s="1046">
        <f t="shared" ref="L66" si="21">SUM(I66:K66)</f>
        <v>0</v>
      </c>
      <c r="M66" s="605" t="s">
        <v>60</v>
      </c>
      <c r="N66" s="606">
        <f t="shared" si="20"/>
        <v>0</v>
      </c>
      <c r="O66" s="838"/>
      <c r="P66" s="158"/>
      <c r="Q66" s="158"/>
      <c r="R66" s="158"/>
      <c r="S66" s="158"/>
      <c r="T66" s="158"/>
      <c r="U66" s="158"/>
      <c r="V66" s="158"/>
    </row>
    <row r="67" spans="1:22" s="102" customFormat="1" ht="30" customHeight="1" x14ac:dyDescent="0.2">
      <c r="A67" s="577">
        <v>3123</v>
      </c>
      <c r="B67" s="1346" t="s">
        <v>130</v>
      </c>
      <c r="C67" s="1347"/>
      <c r="D67" s="415">
        <v>0</v>
      </c>
      <c r="E67" s="120">
        <v>409.05</v>
      </c>
      <c r="F67" s="415">
        <v>0</v>
      </c>
      <c r="G67" s="857">
        <v>596</v>
      </c>
      <c r="H67" s="860">
        <v>566</v>
      </c>
      <c r="I67" s="1088">
        <v>0</v>
      </c>
      <c r="J67" s="1047">
        <v>0</v>
      </c>
      <c r="K67" s="1047">
        <v>0</v>
      </c>
      <c r="L67" s="1046">
        <f t="shared" si="2"/>
        <v>0</v>
      </c>
      <c r="M67" s="605" t="s">
        <v>60</v>
      </c>
      <c r="N67" s="606">
        <f t="shared" si="20"/>
        <v>0</v>
      </c>
      <c r="O67" s="838"/>
      <c r="P67" s="158"/>
      <c r="Q67" s="158"/>
      <c r="R67" s="158"/>
      <c r="S67" s="158"/>
      <c r="T67" s="158"/>
      <c r="U67" s="158"/>
      <c r="V67" s="158"/>
    </row>
    <row r="68" spans="1:22" s="102" customFormat="1" ht="20.100000000000001" customHeight="1" x14ac:dyDescent="0.2">
      <c r="A68" s="577">
        <v>3291</v>
      </c>
      <c r="B68" s="1346" t="s">
        <v>284</v>
      </c>
      <c r="C68" s="1347"/>
      <c r="D68" s="415">
        <v>1500</v>
      </c>
      <c r="E68" s="120">
        <v>0</v>
      </c>
      <c r="F68" s="415">
        <v>1500</v>
      </c>
      <c r="G68" s="857">
        <v>223.92</v>
      </c>
      <c r="H68" s="860">
        <v>0</v>
      </c>
      <c r="I68" s="1088">
        <v>0</v>
      </c>
      <c r="J68" s="1047">
        <v>0</v>
      </c>
      <c r="K68" s="1047">
        <v>2000</v>
      </c>
      <c r="L68" s="1046">
        <f t="shared" si="2"/>
        <v>2000</v>
      </c>
      <c r="M68" s="605">
        <f t="shared" si="3"/>
        <v>133.33333333333331</v>
      </c>
      <c r="N68" s="606">
        <f t="shared" si="4"/>
        <v>893.1761343336907</v>
      </c>
      <c r="O68" s="838"/>
      <c r="P68" s="158"/>
      <c r="Q68" s="158"/>
      <c r="R68" s="158"/>
      <c r="S68" s="158"/>
      <c r="T68" s="158"/>
      <c r="U68" s="158"/>
      <c r="V68" s="158"/>
    </row>
    <row r="69" spans="1:22" s="70" customFormat="1" ht="24" customHeight="1" x14ac:dyDescent="0.2">
      <c r="A69" s="1348" t="s">
        <v>144</v>
      </c>
      <c r="B69" s="1349"/>
      <c r="C69" s="1294"/>
      <c r="D69" s="447">
        <f t="shared" ref="D69:K69" si="22">SUM(D70:D75)</f>
        <v>1500</v>
      </c>
      <c r="E69" s="446">
        <f t="shared" si="22"/>
        <v>1493.56</v>
      </c>
      <c r="F69" s="447">
        <f t="shared" si="22"/>
        <v>1515</v>
      </c>
      <c r="G69" s="453">
        <f t="shared" si="22"/>
        <v>1514.9999999999998</v>
      </c>
      <c r="H69" s="448">
        <f t="shared" si="22"/>
        <v>1498.38</v>
      </c>
      <c r="I69" s="512">
        <f t="shared" si="22"/>
        <v>0</v>
      </c>
      <c r="J69" s="513">
        <f t="shared" si="22"/>
        <v>3000</v>
      </c>
      <c r="K69" s="1057">
        <f t="shared" si="22"/>
        <v>0</v>
      </c>
      <c r="L69" s="1020">
        <f>SUM(I69:K69)</f>
        <v>3000</v>
      </c>
      <c r="M69" s="611">
        <f t="shared" si="3"/>
        <v>198.01980198019803</v>
      </c>
      <c r="N69" s="612">
        <f t="shared" si="4"/>
        <v>198.01980198019805</v>
      </c>
      <c r="O69" s="838"/>
      <c r="P69" s="444"/>
      <c r="Q69" s="444"/>
      <c r="R69" s="444"/>
      <c r="S69" s="444"/>
      <c r="T69" s="444"/>
      <c r="U69" s="444"/>
      <c r="V69" s="444"/>
    </row>
    <row r="70" spans="1:22" s="102" customFormat="1" ht="30" customHeight="1" x14ac:dyDescent="0.2">
      <c r="A70" s="577">
        <v>3114</v>
      </c>
      <c r="B70" s="1346" t="s">
        <v>129</v>
      </c>
      <c r="C70" s="1347"/>
      <c r="D70" s="462">
        <v>0</v>
      </c>
      <c r="E70" s="430">
        <v>187.62</v>
      </c>
      <c r="F70" s="462">
        <v>0</v>
      </c>
      <c r="G70" s="858">
        <v>169.19</v>
      </c>
      <c r="H70" s="858">
        <v>169.18</v>
      </c>
      <c r="I70" s="1088">
        <v>0</v>
      </c>
      <c r="J70" s="1047">
        <v>0</v>
      </c>
      <c r="K70" s="1047">
        <v>0</v>
      </c>
      <c r="L70" s="1046">
        <f t="shared" si="2"/>
        <v>0</v>
      </c>
      <c r="M70" s="605" t="s">
        <v>60</v>
      </c>
      <c r="N70" s="606">
        <f t="shared" si="4"/>
        <v>0</v>
      </c>
      <c r="O70" s="838"/>
      <c r="P70" s="158"/>
      <c r="Q70" s="158"/>
      <c r="R70" s="158"/>
      <c r="S70" s="158"/>
      <c r="T70" s="158"/>
      <c r="U70" s="158"/>
      <c r="V70" s="158"/>
    </row>
    <row r="71" spans="1:22" s="102" customFormat="1" ht="20.100000000000001" customHeight="1" x14ac:dyDescent="0.2">
      <c r="A71" s="577">
        <v>3121</v>
      </c>
      <c r="B71" s="1346" t="s">
        <v>115</v>
      </c>
      <c r="C71" s="1347"/>
      <c r="D71" s="462">
        <v>0</v>
      </c>
      <c r="E71" s="430">
        <v>414.49</v>
      </c>
      <c r="F71" s="462">
        <v>0</v>
      </c>
      <c r="G71" s="858">
        <v>443.9</v>
      </c>
      <c r="H71" s="858">
        <v>443.9</v>
      </c>
      <c r="I71" s="1088">
        <v>0</v>
      </c>
      <c r="J71" s="1047">
        <v>0</v>
      </c>
      <c r="K71" s="1047">
        <v>0</v>
      </c>
      <c r="L71" s="1046">
        <f t="shared" si="2"/>
        <v>0</v>
      </c>
      <c r="M71" s="605" t="s">
        <v>60</v>
      </c>
      <c r="N71" s="606">
        <f t="shared" si="4"/>
        <v>0</v>
      </c>
      <c r="O71" s="838"/>
      <c r="P71" s="158"/>
      <c r="Q71" s="158"/>
      <c r="R71" s="158"/>
      <c r="S71" s="158"/>
      <c r="T71" s="158"/>
      <c r="U71" s="158"/>
      <c r="V71" s="158"/>
    </row>
    <row r="72" spans="1:22" s="102" customFormat="1" ht="20.100000000000001" customHeight="1" x14ac:dyDescent="0.2">
      <c r="A72" s="577">
        <v>3122</v>
      </c>
      <c r="B72" s="1346" t="s">
        <v>116</v>
      </c>
      <c r="C72" s="1347"/>
      <c r="D72" s="462">
        <v>0</v>
      </c>
      <c r="E72" s="430">
        <v>450.15</v>
      </c>
      <c r="F72" s="462">
        <v>0</v>
      </c>
      <c r="G72" s="858">
        <v>443.4</v>
      </c>
      <c r="H72" s="858">
        <v>443.4</v>
      </c>
      <c r="I72" s="1088">
        <v>0</v>
      </c>
      <c r="J72" s="1047">
        <v>0</v>
      </c>
      <c r="K72" s="1047">
        <v>0</v>
      </c>
      <c r="L72" s="1046">
        <f t="shared" si="2"/>
        <v>0</v>
      </c>
      <c r="M72" s="605" t="s">
        <v>60</v>
      </c>
      <c r="N72" s="606">
        <f t="shared" si="4"/>
        <v>0</v>
      </c>
      <c r="O72" s="838"/>
      <c r="P72" s="158"/>
      <c r="Q72" s="158"/>
      <c r="R72" s="158"/>
      <c r="S72" s="158"/>
      <c r="T72" s="158"/>
      <c r="U72" s="158"/>
      <c r="V72" s="158"/>
    </row>
    <row r="73" spans="1:22" s="102" customFormat="1" ht="30" customHeight="1" x14ac:dyDescent="0.2">
      <c r="A73" s="577">
        <v>3123</v>
      </c>
      <c r="B73" s="1346" t="s">
        <v>130</v>
      </c>
      <c r="C73" s="1347"/>
      <c r="D73" s="462">
        <v>0</v>
      </c>
      <c r="E73" s="430">
        <v>396.47</v>
      </c>
      <c r="F73" s="462">
        <v>0</v>
      </c>
      <c r="G73" s="858">
        <v>415.6</v>
      </c>
      <c r="H73" s="858">
        <v>412.4</v>
      </c>
      <c r="I73" s="1088">
        <v>0</v>
      </c>
      <c r="J73" s="1047">
        <v>0</v>
      </c>
      <c r="K73" s="1047">
        <v>0</v>
      </c>
      <c r="L73" s="1046">
        <f t="shared" si="2"/>
        <v>0</v>
      </c>
      <c r="M73" s="605" t="s">
        <v>60</v>
      </c>
      <c r="N73" s="606">
        <f t="shared" si="4"/>
        <v>0</v>
      </c>
      <c r="O73" s="838"/>
      <c r="P73" s="158"/>
      <c r="Q73" s="158"/>
      <c r="R73" s="158"/>
      <c r="S73" s="158"/>
      <c r="T73" s="158"/>
      <c r="U73" s="158"/>
      <c r="V73" s="158"/>
    </row>
    <row r="74" spans="1:22" s="102" customFormat="1" ht="20.100000000000001" customHeight="1" x14ac:dyDescent="0.2">
      <c r="A74" s="577">
        <v>3133</v>
      </c>
      <c r="B74" s="1346" t="s">
        <v>117</v>
      </c>
      <c r="C74" s="1347"/>
      <c r="D74" s="462">
        <v>0</v>
      </c>
      <c r="E74" s="430">
        <v>31</v>
      </c>
      <c r="F74" s="462">
        <v>0</v>
      </c>
      <c r="G74" s="858">
        <v>29.5</v>
      </c>
      <c r="H74" s="858">
        <v>29.5</v>
      </c>
      <c r="I74" s="1088">
        <v>0</v>
      </c>
      <c r="J74" s="1047">
        <v>0</v>
      </c>
      <c r="K74" s="1047">
        <v>0</v>
      </c>
      <c r="L74" s="1046">
        <f t="shared" si="2"/>
        <v>0</v>
      </c>
      <c r="M74" s="605" t="s">
        <v>60</v>
      </c>
      <c r="N74" s="606">
        <f t="shared" si="4"/>
        <v>0</v>
      </c>
      <c r="O74" s="838"/>
      <c r="P74" s="158"/>
      <c r="Q74" s="158"/>
      <c r="R74" s="158"/>
      <c r="S74" s="158"/>
      <c r="T74" s="158"/>
      <c r="U74" s="158"/>
      <c r="V74" s="158"/>
    </row>
    <row r="75" spans="1:22" s="102" customFormat="1" ht="30" customHeight="1" x14ac:dyDescent="0.2">
      <c r="A75" s="577">
        <v>3541</v>
      </c>
      <c r="B75" s="1346" t="s">
        <v>285</v>
      </c>
      <c r="C75" s="1347"/>
      <c r="D75" s="462">
        <v>1500</v>
      </c>
      <c r="E75" s="430">
        <v>13.83</v>
      </c>
      <c r="F75" s="462">
        <v>1515</v>
      </c>
      <c r="G75" s="858">
        <v>13.41</v>
      </c>
      <c r="H75" s="859">
        <v>0</v>
      </c>
      <c r="I75" s="1088">
        <v>0</v>
      </c>
      <c r="J75" s="1047">
        <v>3000</v>
      </c>
      <c r="K75" s="1047">
        <v>0</v>
      </c>
      <c r="L75" s="1046">
        <f t="shared" si="2"/>
        <v>3000</v>
      </c>
      <c r="M75" s="605">
        <f>L75/F75*100</f>
        <v>198.01980198019803</v>
      </c>
      <c r="N75" s="606">
        <f t="shared" ref="N75" si="23">L75/G75*100</f>
        <v>22371.364653243847</v>
      </c>
      <c r="O75" s="838"/>
      <c r="P75" s="158"/>
      <c r="Q75" s="158"/>
      <c r="R75" s="158"/>
      <c r="S75" s="158"/>
      <c r="T75" s="158"/>
      <c r="U75" s="158"/>
      <c r="V75" s="158"/>
    </row>
    <row r="76" spans="1:22" s="70" customFormat="1" ht="24" customHeight="1" x14ac:dyDescent="0.2">
      <c r="A76" s="464" t="s">
        <v>390</v>
      </c>
      <c r="B76" s="595"/>
      <c r="C76" s="642"/>
      <c r="D76" s="447">
        <f t="shared" ref="D76:K76" si="24">SUM(D77:D83)</f>
        <v>28451</v>
      </c>
      <c r="E76" s="446">
        <f t="shared" si="24"/>
        <v>24494.010000000002</v>
      </c>
      <c r="F76" s="447">
        <f t="shared" si="24"/>
        <v>28451</v>
      </c>
      <c r="G76" s="453">
        <f t="shared" si="24"/>
        <v>35112.75</v>
      </c>
      <c r="H76" s="448">
        <f t="shared" si="24"/>
        <v>34794.720000000001</v>
      </c>
      <c r="I76" s="512">
        <f t="shared" si="24"/>
        <v>28451</v>
      </c>
      <c r="J76" s="513">
        <f t="shared" si="24"/>
        <v>0</v>
      </c>
      <c r="K76" s="1057">
        <f t="shared" si="24"/>
        <v>0</v>
      </c>
      <c r="L76" s="1020">
        <f>SUM(I76:K76)</f>
        <v>28451</v>
      </c>
      <c r="M76" s="611">
        <f>L76/F76*100</f>
        <v>100</v>
      </c>
      <c r="N76" s="612">
        <f>L76/G76*100</f>
        <v>81.027546973677659</v>
      </c>
      <c r="O76" s="838"/>
      <c r="P76" s="444"/>
      <c r="Q76" s="444"/>
      <c r="R76" s="444"/>
      <c r="S76" s="444"/>
      <c r="T76" s="444"/>
      <c r="U76" s="444"/>
      <c r="V76" s="444"/>
    </row>
    <row r="77" spans="1:22" s="102" customFormat="1" ht="30" customHeight="1" x14ac:dyDescent="0.2">
      <c r="A77" s="577">
        <v>3114</v>
      </c>
      <c r="B77" s="1346" t="s">
        <v>129</v>
      </c>
      <c r="C77" s="1347"/>
      <c r="D77" s="415">
        <v>0</v>
      </c>
      <c r="E77" s="120">
        <v>470.47</v>
      </c>
      <c r="F77" s="415">
        <v>0</v>
      </c>
      <c r="G77" s="118">
        <v>0</v>
      </c>
      <c r="H77" s="852">
        <v>0</v>
      </c>
      <c r="I77" s="968">
        <v>0</v>
      </c>
      <c r="J77" s="1076">
        <v>0</v>
      </c>
      <c r="K77" s="1076">
        <v>0</v>
      </c>
      <c r="L77" s="1046">
        <f>SUM(I77:K77)</f>
        <v>0</v>
      </c>
      <c r="M77" s="605" t="s">
        <v>60</v>
      </c>
      <c r="N77" s="606" t="s">
        <v>60</v>
      </c>
      <c r="O77" s="838"/>
      <c r="P77" s="158"/>
      <c r="Q77" s="158"/>
      <c r="R77" s="158"/>
      <c r="S77" s="158"/>
      <c r="T77" s="158"/>
      <c r="U77" s="158"/>
      <c r="V77" s="158"/>
    </row>
    <row r="78" spans="1:22" s="102" customFormat="1" ht="20.100000000000001" customHeight="1" x14ac:dyDescent="0.2">
      <c r="A78" s="577">
        <v>3121</v>
      </c>
      <c r="B78" s="1346" t="s">
        <v>115</v>
      </c>
      <c r="C78" s="1347"/>
      <c r="D78" s="415">
        <v>1100</v>
      </c>
      <c r="E78" s="120">
        <v>1896.45</v>
      </c>
      <c r="F78" s="415">
        <v>1100</v>
      </c>
      <c r="G78" s="118">
        <v>1466.24</v>
      </c>
      <c r="H78" s="118">
        <v>1466.24</v>
      </c>
      <c r="I78" s="968">
        <v>1100</v>
      </c>
      <c r="J78" s="1076">
        <v>0</v>
      </c>
      <c r="K78" s="1076">
        <v>0</v>
      </c>
      <c r="L78" s="1046">
        <f t="shared" si="2"/>
        <v>1100</v>
      </c>
      <c r="M78" s="605">
        <f t="shared" si="3"/>
        <v>100</v>
      </c>
      <c r="N78" s="606">
        <f t="shared" si="4"/>
        <v>75.021824530772591</v>
      </c>
      <c r="O78" s="838"/>
      <c r="P78" s="158"/>
      <c r="Q78" s="158"/>
      <c r="R78" s="158"/>
      <c r="S78" s="158"/>
      <c r="T78" s="158"/>
      <c r="U78" s="158"/>
      <c r="V78" s="158"/>
    </row>
    <row r="79" spans="1:22" s="102" customFormat="1" ht="20.100000000000001" customHeight="1" x14ac:dyDescent="0.2">
      <c r="A79" s="577">
        <v>3122</v>
      </c>
      <c r="B79" s="1346" t="s">
        <v>116</v>
      </c>
      <c r="C79" s="1347"/>
      <c r="D79" s="415">
        <v>1959</v>
      </c>
      <c r="E79" s="120">
        <v>308.39</v>
      </c>
      <c r="F79" s="415">
        <v>1959</v>
      </c>
      <c r="G79" s="118">
        <v>11654.19</v>
      </c>
      <c r="H79" s="118">
        <v>11654.19</v>
      </c>
      <c r="I79" s="968">
        <v>1959</v>
      </c>
      <c r="J79" s="1076">
        <v>0</v>
      </c>
      <c r="K79" s="1076">
        <v>0</v>
      </c>
      <c r="L79" s="1046">
        <f t="shared" si="2"/>
        <v>1959</v>
      </c>
      <c r="M79" s="605">
        <f t="shared" si="3"/>
        <v>100</v>
      </c>
      <c r="N79" s="606">
        <f t="shared" si="4"/>
        <v>16.809405029435766</v>
      </c>
      <c r="O79" s="838"/>
      <c r="P79" s="158"/>
      <c r="Q79" s="158"/>
      <c r="R79" s="158"/>
      <c r="S79" s="158"/>
      <c r="T79" s="158"/>
      <c r="U79" s="158"/>
      <c r="V79" s="158"/>
    </row>
    <row r="80" spans="1:22" s="102" customFormat="1" ht="30" customHeight="1" x14ac:dyDescent="0.2">
      <c r="A80" s="577">
        <v>3123</v>
      </c>
      <c r="B80" s="1346" t="s">
        <v>130</v>
      </c>
      <c r="C80" s="1347"/>
      <c r="D80" s="415">
        <v>3300</v>
      </c>
      <c r="E80" s="120">
        <v>1380.8</v>
      </c>
      <c r="F80" s="415">
        <v>3300</v>
      </c>
      <c r="G80" s="118">
        <v>1613.97</v>
      </c>
      <c r="H80" s="118">
        <v>1613.97</v>
      </c>
      <c r="I80" s="968">
        <v>3300</v>
      </c>
      <c r="J80" s="1076">
        <v>0</v>
      </c>
      <c r="K80" s="1076">
        <v>0</v>
      </c>
      <c r="L80" s="1046">
        <f t="shared" si="2"/>
        <v>3300</v>
      </c>
      <c r="M80" s="605">
        <f t="shared" si="3"/>
        <v>100</v>
      </c>
      <c r="N80" s="606">
        <f t="shared" si="4"/>
        <v>204.46476700310416</v>
      </c>
      <c r="O80" s="838"/>
      <c r="P80" s="158"/>
      <c r="Q80" s="158"/>
      <c r="R80" s="158"/>
      <c r="S80" s="158"/>
      <c r="T80" s="158"/>
      <c r="U80" s="158"/>
      <c r="V80" s="158"/>
    </row>
    <row r="81" spans="1:23" s="102" customFormat="1" ht="20.100000000000001" customHeight="1" x14ac:dyDescent="0.2">
      <c r="A81" s="577">
        <v>3133</v>
      </c>
      <c r="B81" s="1346" t="s">
        <v>117</v>
      </c>
      <c r="C81" s="1347"/>
      <c r="D81" s="415">
        <v>0</v>
      </c>
      <c r="E81" s="120">
        <v>0</v>
      </c>
      <c r="F81" s="415">
        <v>0</v>
      </c>
      <c r="G81" s="118">
        <v>226.32</v>
      </c>
      <c r="H81" s="852">
        <v>226.32</v>
      </c>
      <c r="I81" s="968">
        <v>0</v>
      </c>
      <c r="J81" s="1076">
        <v>0</v>
      </c>
      <c r="K81" s="1076">
        <v>0</v>
      </c>
      <c r="L81" s="1046">
        <f t="shared" si="2"/>
        <v>0</v>
      </c>
      <c r="M81" s="605" t="s">
        <v>60</v>
      </c>
      <c r="N81" s="606">
        <f t="shared" ref="N81" si="25">L81/G81*100</f>
        <v>0</v>
      </c>
      <c r="O81" s="838"/>
      <c r="P81" s="158"/>
      <c r="Q81" s="158"/>
      <c r="R81" s="158"/>
      <c r="S81" s="158"/>
      <c r="T81" s="158"/>
      <c r="U81" s="158"/>
      <c r="V81" s="158"/>
    </row>
    <row r="82" spans="1:23" s="102" customFormat="1" ht="20.100000000000001" customHeight="1" x14ac:dyDescent="0.2">
      <c r="A82" s="577" t="s">
        <v>140</v>
      </c>
      <c r="B82" s="1346" t="s">
        <v>133</v>
      </c>
      <c r="C82" s="1347"/>
      <c r="D82" s="415">
        <v>2258</v>
      </c>
      <c r="E82" s="120">
        <v>0</v>
      </c>
      <c r="F82" s="415">
        <v>2258</v>
      </c>
      <c r="G82" s="118">
        <v>318.02999999999997</v>
      </c>
      <c r="H82" s="852">
        <v>0</v>
      </c>
      <c r="I82" s="968">
        <v>2258</v>
      </c>
      <c r="J82" s="1076">
        <v>0</v>
      </c>
      <c r="K82" s="1076">
        <v>0</v>
      </c>
      <c r="L82" s="1046">
        <f t="shared" si="2"/>
        <v>2258</v>
      </c>
      <c r="M82" s="605">
        <f t="shared" si="3"/>
        <v>100</v>
      </c>
      <c r="N82" s="606">
        <f t="shared" si="4"/>
        <v>709.99591233531442</v>
      </c>
      <c r="O82" s="838"/>
      <c r="P82" s="158"/>
      <c r="Q82" s="158"/>
      <c r="R82" s="158"/>
      <c r="S82" s="158"/>
      <c r="T82" s="158"/>
      <c r="U82" s="158"/>
      <c r="V82" s="158"/>
    </row>
    <row r="83" spans="1:23" s="102" customFormat="1" ht="30" customHeight="1" x14ac:dyDescent="0.2">
      <c r="A83" s="600" t="s">
        <v>134</v>
      </c>
      <c r="B83" s="1346" t="s">
        <v>135</v>
      </c>
      <c r="C83" s="1347"/>
      <c r="D83" s="415">
        <v>19834</v>
      </c>
      <c r="E83" s="120">
        <v>20437.900000000001</v>
      </c>
      <c r="F83" s="415">
        <v>19834</v>
      </c>
      <c r="G83" s="118">
        <v>19834</v>
      </c>
      <c r="H83" s="118">
        <v>19834</v>
      </c>
      <c r="I83" s="968">
        <v>19834</v>
      </c>
      <c r="J83" s="1076">
        <v>0</v>
      </c>
      <c r="K83" s="1076">
        <v>0</v>
      </c>
      <c r="L83" s="1046">
        <f t="shared" si="2"/>
        <v>19834</v>
      </c>
      <c r="M83" s="605">
        <f t="shared" si="3"/>
        <v>100</v>
      </c>
      <c r="N83" s="606">
        <f t="shared" si="4"/>
        <v>100</v>
      </c>
      <c r="O83" s="838"/>
      <c r="P83" s="158"/>
      <c r="Q83" s="158"/>
      <c r="R83" s="158"/>
      <c r="S83" s="158"/>
      <c r="T83" s="158"/>
      <c r="U83" s="158"/>
      <c r="V83" s="158"/>
    </row>
    <row r="84" spans="1:23" ht="15" customHeight="1" x14ac:dyDescent="0.2">
      <c r="A84" s="645" t="s">
        <v>96</v>
      </c>
      <c r="B84" s="1352" t="s">
        <v>376</v>
      </c>
      <c r="C84" s="1353"/>
      <c r="D84" s="416">
        <v>28451</v>
      </c>
      <c r="E84" s="98">
        <f>+E76</f>
        <v>24494.010000000002</v>
      </c>
      <c r="F84" s="416">
        <v>28451</v>
      </c>
      <c r="G84" s="81">
        <f>+G76</f>
        <v>35112.75</v>
      </c>
      <c r="H84" s="95">
        <f>+H76</f>
        <v>34794.720000000001</v>
      </c>
      <c r="I84" s="83">
        <f>+I76</f>
        <v>28451</v>
      </c>
      <c r="J84" s="1076">
        <f>+J76</f>
        <v>0</v>
      </c>
      <c r="K84" s="1076">
        <f>+K76</f>
        <v>0</v>
      </c>
      <c r="L84" s="1011">
        <f t="shared" si="2"/>
        <v>28451</v>
      </c>
      <c r="M84" s="607">
        <f t="shared" si="3"/>
        <v>100</v>
      </c>
      <c r="N84" s="608">
        <f t="shared" si="4"/>
        <v>81.027546973677659</v>
      </c>
      <c r="O84" s="838"/>
      <c r="P84" s="86"/>
      <c r="Q84" s="86"/>
      <c r="R84" s="86"/>
      <c r="S84" s="86"/>
      <c r="T84" s="86"/>
      <c r="U84" s="86"/>
      <c r="V84" s="86"/>
    </row>
    <row r="85" spans="1:23" s="69" customFormat="1" ht="20.100000000000001" customHeight="1" x14ac:dyDescent="0.2">
      <c r="A85" s="1360" t="s">
        <v>196</v>
      </c>
      <c r="B85" s="1361"/>
      <c r="C85" s="1330"/>
      <c r="D85" s="447">
        <f>SUM(D86:D92)</f>
        <v>155000</v>
      </c>
      <c r="E85" s="446">
        <f>SUM(E86:E92)</f>
        <v>65581.06</v>
      </c>
      <c r="F85" s="447">
        <f t="shared" ref="F85:K85" si="26">SUM(F86:F92)</f>
        <v>135000</v>
      </c>
      <c r="G85" s="453">
        <f t="shared" si="26"/>
        <v>80619.83</v>
      </c>
      <c r="H85" s="448">
        <f t="shared" si="26"/>
        <v>73712.479999999996</v>
      </c>
      <c r="I85" s="512">
        <f t="shared" si="26"/>
        <v>0</v>
      </c>
      <c r="J85" s="513">
        <f t="shared" si="26"/>
        <v>70000</v>
      </c>
      <c r="K85" s="1057">
        <f t="shared" si="26"/>
        <v>65500</v>
      </c>
      <c r="L85" s="1020">
        <f>SUM(I85:K85)</f>
        <v>135500</v>
      </c>
      <c r="M85" s="609">
        <f t="shared" si="3"/>
        <v>100.37037037037038</v>
      </c>
      <c r="N85" s="612">
        <f t="shared" si="4"/>
        <v>168.07279300886643</v>
      </c>
      <c r="O85" s="838"/>
      <c r="P85" s="461"/>
      <c r="Q85" s="461"/>
      <c r="R85" s="461"/>
      <c r="S85" s="461"/>
      <c r="T85" s="461"/>
      <c r="U85" s="461"/>
      <c r="V85" s="461"/>
    </row>
    <row r="86" spans="1:23" s="102" customFormat="1" ht="30" customHeight="1" x14ac:dyDescent="0.2">
      <c r="A86" s="577">
        <v>3114</v>
      </c>
      <c r="B86" s="1346" t="s">
        <v>129</v>
      </c>
      <c r="C86" s="1347"/>
      <c r="D86" s="415">
        <v>0</v>
      </c>
      <c r="E86" s="120">
        <v>3656.7</v>
      </c>
      <c r="F86" s="415">
        <v>0</v>
      </c>
      <c r="G86" s="857">
        <v>3867.75</v>
      </c>
      <c r="H86" s="857">
        <v>3867.75</v>
      </c>
      <c r="I86" s="1088">
        <v>0</v>
      </c>
      <c r="J86" s="1047">
        <v>0</v>
      </c>
      <c r="K86" s="1047">
        <v>0</v>
      </c>
      <c r="L86" s="1046">
        <f>SUM(I86:K86)</f>
        <v>0</v>
      </c>
      <c r="M86" s="605" t="s">
        <v>60</v>
      </c>
      <c r="N86" s="606">
        <f t="shared" ref="N86:N90" si="27">L86/G86*100</f>
        <v>0</v>
      </c>
      <c r="O86" s="838"/>
      <c r="P86" s="158"/>
      <c r="Q86" s="158"/>
      <c r="R86" s="158"/>
      <c r="S86" s="158"/>
      <c r="T86" s="158"/>
      <c r="U86" s="158"/>
      <c r="V86" s="158"/>
    </row>
    <row r="87" spans="1:23" s="159" customFormat="1" ht="20.100000000000001" customHeight="1" x14ac:dyDescent="0.2">
      <c r="A87" s="577">
        <v>3121</v>
      </c>
      <c r="B87" s="1346" t="s">
        <v>115</v>
      </c>
      <c r="C87" s="1347"/>
      <c r="D87" s="431">
        <v>0</v>
      </c>
      <c r="E87" s="430">
        <v>14108.97</v>
      </c>
      <c r="F87" s="431">
        <v>0</v>
      </c>
      <c r="G87" s="858">
        <v>20554.169999999998</v>
      </c>
      <c r="H87" s="858">
        <v>20097.77</v>
      </c>
      <c r="I87" s="1088">
        <v>0</v>
      </c>
      <c r="J87" s="1047">
        <v>0</v>
      </c>
      <c r="K87" s="1047">
        <v>0</v>
      </c>
      <c r="L87" s="1046">
        <f t="shared" ref="L87:L93" si="28">SUM(I87:K87)</f>
        <v>0</v>
      </c>
      <c r="M87" s="605" t="s">
        <v>60</v>
      </c>
      <c r="N87" s="606">
        <f t="shared" si="27"/>
        <v>0</v>
      </c>
      <c r="O87" s="838"/>
      <c r="P87" s="347"/>
      <c r="Q87" s="347"/>
      <c r="R87" s="347"/>
      <c r="S87" s="347"/>
      <c r="T87" s="347"/>
      <c r="U87" s="347"/>
      <c r="V87" s="347"/>
    </row>
    <row r="88" spans="1:23" s="159" customFormat="1" ht="20.100000000000001" customHeight="1" x14ac:dyDescent="0.2">
      <c r="A88" s="577">
        <v>3122</v>
      </c>
      <c r="B88" s="1346" t="s">
        <v>116</v>
      </c>
      <c r="C88" s="1347"/>
      <c r="D88" s="431">
        <v>0</v>
      </c>
      <c r="E88" s="430">
        <v>23132.48</v>
      </c>
      <c r="F88" s="431">
        <v>0</v>
      </c>
      <c r="G88" s="858">
        <v>24772.09</v>
      </c>
      <c r="H88" s="858">
        <v>24622.080000000002</v>
      </c>
      <c r="I88" s="1088">
        <v>0</v>
      </c>
      <c r="J88" s="1047">
        <v>0</v>
      </c>
      <c r="K88" s="1047">
        <v>0</v>
      </c>
      <c r="L88" s="1046">
        <f t="shared" si="28"/>
        <v>0</v>
      </c>
      <c r="M88" s="605" t="s">
        <v>60</v>
      </c>
      <c r="N88" s="606">
        <f t="shared" si="27"/>
        <v>0</v>
      </c>
      <c r="O88" s="838"/>
      <c r="P88" s="347"/>
      <c r="Q88" s="347"/>
      <c r="R88" s="347"/>
      <c r="S88" s="347"/>
      <c r="T88" s="347"/>
      <c r="U88" s="347"/>
      <c r="V88" s="347"/>
    </row>
    <row r="89" spans="1:23" s="159" customFormat="1" ht="30" customHeight="1" x14ac:dyDescent="0.2">
      <c r="A89" s="577">
        <v>3123</v>
      </c>
      <c r="B89" s="1346" t="s">
        <v>130</v>
      </c>
      <c r="C89" s="1347"/>
      <c r="D89" s="431">
        <v>0</v>
      </c>
      <c r="E89" s="430">
        <v>18167.79</v>
      </c>
      <c r="F89" s="431">
        <v>0</v>
      </c>
      <c r="G89" s="858">
        <v>18500.47</v>
      </c>
      <c r="H89" s="858">
        <v>18500.47</v>
      </c>
      <c r="I89" s="1088">
        <v>0</v>
      </c>
      <c r="J89" s="1047">
        <v>0</v>
      </c>
      <c r="K89" s="1047">
        <v>0</v>
      </c>
      <c r="L89" s="1046">
        <f t="shared" si="28"/>
        <v>0</v>
      </c>
      <c r="M89" s="605" t="s">
        <v>60</v>
      </c>
      <c r="N89" s="606">
        <f t="shared" si="27"/>
        <v>0</v>
      </c>
      <c r="O89" s="838"/>
      <c r="P89" s="347"/>
      <c r="Q89" s="347"/>
      <c r="R89" s="347"/>
      <c r="S89" s="347"/>
      <c r="T89" s="347"/>
      <c r="U89" s="347"/>
      <c r="V89" s="347"/>
    </row>
    <row r="90" spans="1:23" ht="20.100000000000001" customHeight="1" x14ac:dyDescent="0.2">
      <c r="A90" s="577">
        <v>3133</v>
      </c>
      <c r="B90" s="1346" t="s">
        <v>117</v>
      </c>
      <c r="C90" s="1347"/>
      <c r="D90" s="415">
        <v>0</v>
      </c>
      <c r="E90" s="120">
        <v>15</v>
      </c>
      <c r="F90" s="415">
        <v>0</v>
      </c>
      <c r="G90" s="857">
        <v>15</v>
      </c>
      <c r="H90" s="857">
        <v>0</v>
      </c>
      <c r="I90" s="1088">
        <v>0</v>
      </c>
      <c r="J90" s="1047">
        <v>0</v>
      </c>
      <c r="K90" s="1047">
        <v>0</v>
      </c>
      <c r="L90" s="1046">
        <f t="shared" ref="L90" si="29">SUM(I90:K90)</f>
        <v>0</v>
      </c>
      <c r="M90" s="605" t="s">
        <v>60</v>
      </c>
      <c r="N90" s="606">
        <f t="shared" si="27"/>
        <v>0</v>
      </c>
      <c r="O90" s="838"/>
      <c r="P90" s="72"/>
      <c r="Q90" s="85"/>
      <c r="R90" s="85"/>
      <c r="S90" s="86"/>
      <c r="T90" s="86"/>
      <c r="U90" s="86"/>
      <c r="V90" s="86"/>
      <c r="W90" s="86"/>
    </row>
    <row r="91" spans="1:23" s="159" customFormat="1" ht="20.100000000000001" customHeight="1" x14ac:dyDescent="0.2">
      <c r="A91" s="577" t="s">
        <v>140</v>
      </c>
      <c r="B91" s="1346" t="s">
        <v>133</v>
      </c>
      <c r="C91" s="1347"/>
      <c r="D91" s="431">
        <v>155000</v>
      </c>
      <c r="E91" s="430">
        <v>6500.12</v>
      </c>
      <c r="F91" s="431">
        <v>135000</v>
      </c>
      <c r="G91" s="858">
        <v>12850.35</v>
      </c>
      <c r="H91" s="858">
        <v>6595.12</v>
      </c>
      <c r="I91" s="1088">
        <v>0</v>
      </c>
      <c r="J91" s="1047">
        <v>70000</v>
      </c>
      <c r="K91" s="1047">
        <v>65500</v>
      </c>
      <c r="L91" s="1046">
        <f t="shared" si="28"/>
        <v>135500</v>
      </c>
      <c r="M91" s="605">
        <f t="shared" ref="M91" si="30">L91/F91*100</f>
        <v>100.37037037037038</v>
      </c>
      <c r="N91" s="606">
        <f t="shared" ref="N91:N92" si="31">L91/G91*100</f>
        <v>1054.4459878524708</v>
      </c>
      <c r="O91" s="838"/>
      <c r="P91" s="347"/>
      <c r="Q91" s="347"/>
      <c r="R91" s="347"/>
      <c r="S91" s="347"/>
      <c r="T91" s="347"/>
      <c r="U91" s="347"/>
      <c r="V91" s="347"/>
    </row>
    <row r="92" spans="1:23" s="102" customFormat="1" ht="20.100000000000001" customHeight="1" x14ac:dyDescent="0.2">
      <c r="A92" s="601">
        <v>3421</v>
      </c>
      <c r="B92" s="1346" t="s">
        <v>136</v>
      </c>
      <c r="C92" s="1347"/>
      <c r="D92" s="431">
        <v>0</v>
      </c>
      <c r="E92" s="430">
        <v>0</v>
      </c>
      <c r="F92" s="431">
        <v>0</v>
      </c>
      <c r="G92" s="432">
        <v>60</v>
      </c>
      <c r="H92" s="433">
        <v>29.29</v>
      </c>
      <c r="I92" s="1087">
        <v>0</v>
      </c>
      <c r="J92" s="1085">
        <v>0</v>
      </c>
      <c r="K92" s="1086">
        <v>0</v>
      </c>
      <c r="L92" s="1046">
        <f t="shared" ref="L92" si="32">SUM(I92:K92)</f>
        <v>0</v>
      </c>
      <c r="M92" s="605" t="s">
        <v>60</v>
      </c>
      <c r="N92" s="606">
        <f t="shared" si="31"/>
        <v>0</v>
      </c>
      <c r="O92" s="838"/>
      <c r="P92" s="158"/>
      <c r="Q92" s="158"/>
      <c r="R92" s="158"/>
      <c r="S92" s="158"/>
      <c r="T92" s="158"/>
      <c r="U92" s="158"/>
      <c r="V92" s="158"/>
    </row>
    <row r="93" spans="1:23" s="69" customFormat="1" ht="20.100000000000001" customHeight="1" x14ac:dyDescent="0.2">
      <c r="A93" s="1360" t="s">
        <v>286</v>
      </c>
      <c r="B93" s="1361"/>
      <c r="C93" s="1330"/>
      <c r="D93" s="447">
        <f t="shared" ref="D93:K93" si="33">SUM(D94:D100)</f>
        <v>4600</v>
      </c>
      <c r="E93" s="446">
        <f t="shared" si="33"/>
        <v>4024.9300000000003</v>
      </c>
      <c r="F93" s="447">
        <f t="shared" si="33"/>
        <v>4600</v>
      </c>
      <c r="G93" s="453">
        <f t="shared" si="33"/>
        <v>5430</v>
      </c>
      <c r="H93" s="448">
        <f t="shared" si="33"/>
        <v>2583.62</v>
      </c>
      <c r="I93" s="512">
        <f t="shared" si="33"/>
        <v>0</v>
      </c>
      <c r="J93" s="513">
        <f t="shared" si="33"/>
        <v>4600</v>
      </c>
      <c r="K93" s="1057">
        <f t="shared" si="33"/>
        <v>0</v>
      </c>
      <c r="L93" s="1020">
        <f t="shared" si="28"/>
        <v>4600</v>
      </c>
      <c r="M93" s="609">
        <f t="shared" ref="M93" si="34">L93/F93*100</f>
        <v>100</v>
      </c>
      <c r="N93" s="612">
        <f t="shared" ref="N93:N100" si="35">L93/G93*100</f>
        <v>84.714548802946581</v>
      </c>
      <c r="O93" s="838"/>
      <c r="P93" s="461"/>
      <c r="Q93" s="461"/>
      <c r="R93" s="461"/>
      <c r="S93" s="461"/>
      <c r="T93" s="461"/>
      <c r="U93" s="461"/>
      <c r="V93" s="461"/>
    </row>
    <row r="94" spans="1:23" s="102" customFormat="1" ht="20.100000000000001" customHeight="1" x14ac:dyDescent="0.2">
      <c r="A94" s="577">
        <v>3113</v>
      </c>
      <c r="B94" s="1346" t="s">
        <v>287</v>
      </c>
      <c r="C94" s="1347"/>
      <c r="D94" s="415">
        <v>0</v>
      </c>
      <c r="E94" s="120">
        <v>352.05</v>
      </c>
      <c r="F94" s="415">
        <v>0</v>
      </c>
      <c r="G94" s="118">
        <v>400.52</v>
      </c>
      <c r="H94" s="852">
        <v>390.15</v>
      </c>
      <c r="I94" s="968">
        <v>0</v>
      </c>
      <c r="J94" s="1076">
        <v>0</v>
      </c>
      <c r="K94" s="1076">
        <v>0</v>
      </c>
      <c r="L94" s="1046">
        <v>0</v>
      </c>
      <c r="M94" s="605" t="s">
        <v>60</v>
      </c>
      <c r="N94" s="606">
        <f t="shared" si="35"/>
        <v>0</v>
      </c>
      <c r="O94" s="838"/>
      <c r="P94" s="158"/>
      <c r="Q94" s="158"/>
      <c r="R94" s="158"/>
      <c r="S94" s="158"/>
      <c r="T94" s="158"/>
      <c r="U94" s="158"/>
      <c r="V94" s="158"/>
    </row>
    <row r="95" spans="1:23" s="102" customFormat="1" ht="20.100000000000001" customHeight="1" x14ac:dyDescent="0.2">
      <c r="A95" s="577">
        <v>3121</v>
      </c>
      <c r="B95" s="1346" t="s">
        <v>115</v>
      </c>
      <c r="C95" s="1347"/>
      <c r="D95" s="415">
        <v>0</v>
      </c>
      <c r="E95" s="120">
        <v>288.33999999999997</v>
      </c>
      <c r="F95" s="415">
        <v>0</v>
      </c>
      <c r="G95" s="118">
        <v>590.42999999999995</v>
      </c>
      <c r="H95" s="852">
        <v>548.16</v>
      </c>
      <c r="I95" s="968">
        <v>0</v>
      </c>
      <c r="J95" s="1076">
        <v>0</v>
      </c>
      <c r="K95" s="1076">
        <v>0</v>
      </c>
      <c r="L95" s="1046">
        <v>0</v>
      </c>
      <c r="M95" s="605" t="s">
        <v>60</v>
      </c>
      <c r="N95" s="606">
        <f t="shared" si="35"/>
        <v>0</v>
      </c>
      <c r="O95" s="838"/>
      <c r="P95" s="158"/>
      <c r="Q95" s="158"/>
      <c r="R95" s="158"/>
      <c r="S95" s="158"/>
      <c r="T95" s="158"/>
      <c r="U95" s="158"/>
      <c r="V95" s="158"/>
    </row>
    <row r="96" spans="1:23" s="102" customFormat="1" ht="20.100000000000001" customHeight="1" x14ac:dyDescent="0.2">
      <c r="A96" s="577">
        <v>3122</v>
      </c>
      <c r="B96" s="1346" t="s">
        <v>116</v>
      </c>
      <c r="C96" s="1347"/>
      <c r="D96" s="415">
        <v>0</v>
      </c>
      <c r="E96" s="120">
        <v>281.5</v>
      </c>
      <c r="F96" s="415">
        <v>0</v>
      </c>
      <c r="G96" s="118">
        <v>120.84</v>
      </c>
      <c r="H96" s="852">
        <v>81.900000000000006</v>
      </c>
      <c r="I96" s="968">
        <v>0</v>
      </c>
      <c r="J96" s="1076">
        <v>0</v>
      </c>
      <c r="K96" s="1076">
        <v>0</v>
      </c>
      <c r="L96" s="1046">
        <v>0</v>
      </c>
      <c r="M96" s="605" t="s">
        <v>60</v>
      </c>
      <c r="N96" s="606">
        <f t="shared" si="35"/>
        <v>0</v>
      </c>
      <c r="O96" s="838"/>
      <c r="P96" s="158"/>
      <c r="Q96" s="158"/>
      <c r="R96" s="158"/>
      <c r="S96" s="158"/>
      <c r="T96" s="158"/>
      <c r="U96" s="158"/>
      <c r="V96" s="158"/>
    </row>
    <row r="97" spans="1:22" s="102" customFormat="1" ht="29.25" customHeight="1" x14ac:dyDescent="0.2">
      <c r="A97" s="577">
        <v>3123</v>
      </c>
      <c r="B97" s="1346" t="s">
        <v>130</v>
      </c>
      <c r="C97" s="1347"/>
      <c r="D97" s="415">
        <v>0</v>
      </c>
      <c r="E97" s="120">
        <v>66.3</v>
      </c>
      <c r="F97" s="415">
        <v>0</v>
      </c>
      <c r="G97" s="118">
        <v>65</v>
      </c>
      <c r="H97" s="852">
        <v>50</v>
      </c>
      <c r="I97" s="968">
        <v>0</v>
      </c>
      <c r="J97" s="1076">
        <v>0</v>
      </c>
      <c r="K97" s="1076">
        <v>0</v>
      </c>
      <c r="L97" s="1046">
        <v>0</v>
      </c>
      <c r="M97" s="605" t="s">
        <v>60</v>
      </c>
      <c r="N97" s="606">
        <f t="shared" si="35"/>
        <v>0</v>
      </c>
      <c r="O97" s="838"/>
      <c r="P97" s="158"/>
      <c r="Q97" s="158"/>
      <c r="R97" s="158"/>
      <c r="S97" s="158"/>
      <c r="T97" s="158"/>
      <c r="U97" s="158"/>
      <c r="V97" s="158"/>
    </row>
    <row r="98" spans="1:22" s="102" customFormat="1" ht="20.100000000000001" customHeight="1" x14ac:dyDescent="0.2">
      <c r="A98" s="577">
        <v>3239</v>
      </c>
      <c r="B98" s="1346" t="s">
        <v>514</v>
      </c>
      <c r="C98" s="1347"/>
      <c r="D98" s="415">
        <v>0</v>
      </c>
      <c r="E98" s="120">
        <v>21</v>
      </c>
      <c r="F98" s="415">
        <v>0</v>
      </c>
      <c r="G98" s="118">
        <v>49.8</v>
      </c>
      <c r="H98" s="852">
        <v>49.8</v>
      </c>
      <c r="I98" s="968">
        <v>0</v>
      </c>
      <c r="J98" s="1076">
        <v>0</v>
      </c>
      <c r="K98" s="1076">
        <v>0</v>
      </c>
      <c r="L98" s="1046">
        <f t="shared" ref="L98" si="36">SUM(I98:K98)</f>
        <v>0</v>
      </c>
      <c r="M98" s="605" t="s">
        <v>60</v>
      </c>
      <c r="N98" s="606">
        <f t="shared" ref="N98" si="37">L98/G98*100</f>
        <v>0</v>
      </c>
      <c r="O98" s="838"/>
      <c r="P98" s="158"/>
      <c r="Q98" s="158"/>
      <c r="R98" s="158"/>
      <c r="S98" s="158"/>
      <c r="T98" s="158"/>
      <c r="U98" s="158"/>
      <c r="V98" s="158"/>
    </row>
    <row r="99" spans="1:22" s="102" customFormat="1" ht="20.100000000000001" customHeight="1" x14ac:dyDescent="0.2">
      <c r="A99" s="577">
        <v>3419</v>
      </c>
      <c r="B99" s="1346" t="s">
        <v>288</v>
      </c>
      <c r="C99" s="1347"/>
      <c r="D99" s="415">
        <v>4600</v>
      </c>
      <c r="E99" s="120">
        <v>1944.54</v>
      </c>
      <c r="F99" s="415">
        <v>4600</v>
      </c>
      <c r="G99" s="118">
        <v>3255.79</v>
      </c>
      <c r="H99" s="852">
        <v>552.62</v>
      </c>
      <c r="I99" s="968">
        <v>0</v>
      </c>
      <c r="J99" s="1076">
        <v>4600</v>
      </c>
      <c r="K99" s="1076">
        <v>0</v>
      </c>
      <c r="L99" s="1046">
        <f t="shared" ref="L99:L100" si="38">SUM(I99:K99)</f>
        <v>4600</v>
      </c>
      <c r="M99" s="605">
        <f t="shared" ref="M99" si="39">L99/F99*100</f>
        <v>100</v>
      </c>
      <c r="N99" s="606">
        <f t="shared" si="35"/>
        <v>141.28675375254548</v>
      </c>
      <c r="O99" s="838"/>
      <c r="P99" s="158"/>
      <c r="Q99" s="158"/>
      <c r="R99" s="158"/>
      <c r="S99" s="158"/>
      <c r="T99" s="158"/>
      <c r="U99" s="158"/>
      <c r="V99" s="158"/>
    </row>
    <row r="100" spans="1:22" s="102" customFormat="1" ht="20.100000000000001" customHeight="1" x14ac:dyDescent="0.2">
      <c r="A100" s="577">
        <v>3421</v>
      </c>
      <c r="B100" s="1346" t="s">
        <v>136</v>
      </c>
      <c r="C100" s="1347"/>
      <c r="D100" s="415">
        <v>0</v>
      </c>
      <c r="E100" s="120">
        <v>1071.2</v>
      </c>
      <c r="F100" s="415">
        <v>0</v>
      </c>
      <c r="G100" s="118">
        <v>947.62</v>
      </c>
      <c r="H100" s="852">
        <v>910.99</v>
      </c>
      <c r="I100" s="968">
        <v>0</v>
      </c>
      <c r="J100" s="1076">
        <v>0</v>
      </c>
      <c r="K100" s="1076">
        <v>0</v>
      </c>
      <c r="L100" s="1046">
        <f t="shared" si="38"/>
        <v>0</v>
      </c>
      <c r="M100" s="605" t="s">
        <v>60</v>
      </c>
      <c r="N100" s="606">
        <f t="shared" si="35"/>
        <v>0</v>
      </c>
      <c r="O100" s="838"/>
      <c r="P100" s="158"/>
      <c r="Q100" s="158"/>
      <c r="R100" s="158"/>
      <c r="S100" s="158"/>
      <c r="T100" s="158"/>
      <c r="U100" s="158"/>
      <c r="V100" s="158"/>
    </row>
    <row r="101" spans="1:22" s="70" customFormat="1" ht="23.25" customHeight="1" x14ac:dyDescent="0.2">
      <c r="A101" s="489">
        <v>3111</v>
      </c>
      <c r="B101" s="1293" t="s">
        <v>553</v>
      </c>
      <c r="C101" s="1294"/>
      <c r="D101" s="456">
        <v>0</v>
      </c>
      <c r="E101" s="455">
        <v>467.93</v>
      </c>
      <c r="F101" s="456">
        <v>0</v>
      </c>
      <c r="G101" s="540">
        <v>340.59</v>
      </c>
      <c r="H101" s="861">
        <v>340.59</v>
      </c>
      <c r="I101" s="978">
        <v>0</v>
      </c>
      <c r="J101" s="953">
        <v>0</v>
      </c>
      <c r="K101" s="953">
        <v>0</v>
      </c>
      <c r="L101" s="962">
        <f t="shared" ref="L101:L102" si="40">SUM(I101:K101)</f>
        <v>0</v>
      </c>
      <c r="M101" s="609" t="s">
        <v>60</v>
      </c>
      <c r="N101" s="612">
        <f t="shared" ref="N101:N102" si="41">L101/G101*100</f>
        <v>0</v>
      </c>
      <c r="O101" s="838"/>
      <c r="P101" s="444"/>
      <c r="Q101" s="444"/>
      <c r="R101" s="444"/>
      <c r="S101" s="444"/>
      <c r="T101" s="444"/>
      <c r="U101" s="444"/>
      <c r="V101" s="444"/>
    </row>
    <row r="102" spans="1:22" s="70" customFormat="1" ht="23.25" customHeight="1" x14ac:dyDescent="0.2">
      <c r="A102" s="489">
        <v>3113</v>
      </c>
      <c r="B102" s="1293" t="s">
        <v>554</v>
      </c>
      <c r="C102" s="1294"/>
      <c r="D102" s="456">
        <v>0</v>
      </c>
      <c r="E102" s="455">
        <v>0</v>
      </c>
      <c r="F102" s="456">
        <v>0</v>
      </c>
      <c r="G102" s="540">
        <v>277.77999999999997</v>
      </c>
      <c r="H102" s="861">
        <v>277.77999999999997</v>
      </c>
      <c r="I102" s="978">
        <v>0</v>
      </c>
      <c r="J102" s="953">
        <v>0</v>
      </c>
      <c r="K102" s="953">
        <v>0</v>
      </c>
      <c r="L102" s="962">
        <f t="shared" si="40"/>
        <v>0</v>
      </c>
      <c r="M102" s="609" t="s">
        <v>60</v>
      </c>
      <c r="N102" s="612">
        <f t="shared" si="41"/>
        <v>0</v>
      </c>
      <c r="O102" s="838"/>
      <c r="P102" s="444"/>
      <c r="Q102" s="444"/>
      <c r="R102" s="444"/>
      <c r="S102" s="444"/>
      <c r="T102" s="444"/>
      <c r="U102" s="444"/>
      <c r="V102" s="444"/>
    </row>
    <row r="103" spans="1:22" s="70" customFormat="1" ht="20.100000000000001" customHeight="1" x14ac:dyDescent="0.2">
      <c r="A103" s="489">
        <v>3123</v>
      </c>
      <c r="B103" s="1293" t="s">
        <v>381</v>
      </c>
      <c r="C103" s="1294"/>
      <c r="D103" s="456">
        <v>28000</v>
      </c>
      <c r="E103" s="455">
        <v>0</v>
      </c>
      <c r="F103" s="456">
        <v>12000</v>
      </c>
      <c r="G103" s="540">
        <v>58457.79</v>
      </c>
      <c r="H103" s="861">
        <v>0</v>
      </c>
      <c r="I103" s="978">
        <v>0</v>
      </c>
      <c r="J103" s="953">
        <v>12000</v>
      </c>
      <c r="K103" s="953">
        <v>0</v>
      </c>
      <c r="L103" s="962">
        <f t="shared" ref="L103" si="42">SUM(I103:K103)</f>
        <v>12000</v>
      </c>
      <c r="M103" s="609">
        <f t="shared" ref="M103" si="43">L103/F103*100</f>
        <v>100</v>
      </c>
      <c r="N103" s="612">
        <f t="shared" ref="N103:N108" si="44">L103/G103*100</f>
        <v>20.527631988824758</v>
      </c>
      <c r="O103" s="838"/>
      <c r="P103" s="444"/>
      <c r="Q103" s="444"/>
      <c r="R103" s="444"/>
      <c r="S103" s="444"/>
      <c r="T103" s="444"/>
      <c r="U103" s="444"/>
      <c r="V103" s="444"/>
    </row>
    <row r="104" spans="1:22" s="70" customFormat="1" ht="20.100000000000001" customHeight="1" x14ac:dyDescent="0.2">
      <c r="A104" s="489">
        <v>3231</v>
      </c>
      <c r="B104" s="1293" t="s">
        <v>401</v>
      </c>
      <c r="C104" s="1294"/>
      <c r="D104" s="456">
        <v>200</v>
      </c>
      <c r="E104" s="455">
        <v>152.1</v>
      </c>
      <c r="F104" s="456">
        <v>200</v>
      </c>
      <c r="G104" s="533">
        <v>200</v>
      </c>
      <c r="H104" s="863">
        <v>200</v>
      </c>
      <c r="I104" s="978">
        <v>0</v>
      </c>
      <c r="J104" s="953">
        <v>200</v>
      </c>
      <c r="K104" s="953">
        <v>0</v>
      </c>
      <c r="L104" s="962">
        <f>SUM(I104:K104)</f>
        <v>200</v>
      </c>
      <c r="M104" s="609">
        <f>L104/F104*100</f>
        <v>100</v>
      </c>
      <c r="N104" s="612">
        <f>L104/G104*100</f>
        <v>100</v>
      </c>
      <c r="O104" s="838"/>
      <c r="P104" s="444"/>
      <c r="Q104" s="444"/>
      <c r="R104" s="444"/>
      <c r="S104" s="444"/>
      <c r="T104" s="444"/>
      <c r="U104" s="444"/>
      <c r="V104" s="444"/>
    </row>
    <row r="105" spans="1:22" s="90" customFormat="1" ht="20.100000000000001" customHeight="1" x14ac:dyDescent="0.2">
      <c r="A105" s="489">
        <v>3269</v>
      </c>
      <c r="B105" s="1293" t="s">
        <v>133</v>
      </c>
      <c r="C105" s="1294"/>
      <c r="D105" s="862">
        <v>0</v>
      </c>
      <c r="E105" s="455">
        <v>2114.75</v>
      </c>
      <c r="F105" s="862">
        <v>0</v>
      </c>
      <c r="G105" s="540">
        <v>1991.12</v>
      </c>
      <c r="H105" s="861">
        <v>1172.3900000000001</v>
      </c>
      <c r="I105" s="978">
        <v>0</v>
      </c>
      <c r="J105" s="953">
        <v>0</v>
      </c>
      <c r="K105" s="953">
        <v>0</v>
      </c>
      <c r="L105" s="962">
        <f t="shared" ref="L105" si="45">SUM(I105:K105)</f>
        <v>0</v>
      </c>
      <c r="M105" s="609" t="s">
        <v>60</v>
      </c>
      <c r="N105" s="612">
        <f t="shared" si="44"/>
        <v>0</v>
      </c>
      <c r="O105" s="838"/>
      <c r="P105" s="598"/>
      <c r="Q105" s="598"/>
      <c r="R105" s="598"/>
      <c r="S105" s="598"/>
      <c r="T105" s="598"/>
      <c r="U105" s="598"/>
      <c r="V105" s="598"/>
    </row>
    <row r="106" spans="1:22" s="70" customFormat="1" ht="30" customHeight="1" x14ac:dyDescent="0.2">
      <c r="A106" s="489">
        <v>3269</v>
      </c>
      <c r="B106" s="1336" t="s">
        <v>460</v>
      </c>
      <c r="C106" s="1337"/>
      <c r="D106" s="864">
        <v>0</v>
      </c>
      <c r="E106" s="866">
        <v>0</v>
      </c>
      <c r="F106" s="864">
        <v>20000</v>
      </c>
      <c r="G106" s="533">
        <v>14617.31</v>
      </c>
      <c r="H106" s="865">
        <v>698.55</v>
      </c>
      <c r="I106" s="978">
        <v>0</v>
      </c>
      <c r="J106" s="953">
        <v>20000</v>
      </c>
      <c r="K106" s="1089">
        <v>0</v>
      </c>
      <c r="L106" s="962">
        <f t="shared" ref="L106" si="46">SUM(I106:K106)</f>
        <v>20000</v>
      </c>
      <c r="M106" s="609">
        <f t="shared" ref="M106:M108" si="47">L106/F106*100</f>
        <v>100</v>
      </c>
      <c r="N106" s="612">
        <f t="shared" si="44"/>
        <v>136.82408049087007</v>
      </c>
      <c r="O106" s="838"/>
      <c r="P106" s="444"/>
      <c r="Q106" s="444"/>
      <c r="R106" s="444"/>
      <c r="S106" s="444"/>
      <c r="T106" s="444"/>
      <c r="U106" s="444"/>
      <c r="V106" s="444"/>
    </row>
    <row r="107" spans="1:22" s="70" customFormat="1" ht="20.100000000000001" customHeight="1" x14ac:dyDescent="0.2">
      <c r="A107" s="489">
        <v>3419</v>
      </c>
      <c r="B107" s="1293" t="s">
        <v>142</v>
      </c>
      <c r="C107" s="1294"/>
      <c r="D107" s="456">
        <v>32000</v>
      </c>
      <c r="E107" s="455">
        <v>33398.25</v>
      </c>
      <c r="F107" s="456">
        <v>37510</v>
      </c>
      <c r="G107" s="540">
        <v>37510</v>
      </c>
      <c r="H107" s="861">
        <v>37510</v>
      </c>
      <c r="I107" s="978">
        <v>0</v>
      </c>
      <c r="J107" s="953">
        <v>37510</v>
      </c>
      <c r="K107" s="953">
        <v>0</v>
      </c>
      <c r="L107" s="962">
        <f t="shared" ref="L107:L108" si="48">SUM(I107:K107)</f>
        <v>37510</v>
      </c>
      <c r="M107" s="609">
        <f t="shared" si="47"/>
        <v>100</v>
      </c>
      <c r="N107" s="612">
        <f t="shared" si="44"/>
        <v>100</v>
      </c>
      <c r="O107" s="838"/>
      <c r="P107" s="444"/>
      <c r="Q107" s="444"/>
      <c r="R107" s="444"/>
      <c r="S107" s="444"/>
      <c r="T107" s="444"/>
      <c r="U107" s="444"/>
      <c r="V107" s="444"/>
    </row>
    <row r="108" spans="1:22" s="70" customFormat="1" ht="20.100000000000001" customHeight="1" x14ac:dyDescent="0.2">
      <c r="A108" s="489">
        <v>3419</v>
      </c>
      <c r="B108" s="1293" t="s">
        <v>289</v>
      </c>
      <c r="C108" s="1294"/>
      <c r="D108" s="456">
        <v>2000</v>
      </c>
      <c r="E108" s="455">
        <v>2151.17</v>
      </c>
      <c r="F108" s="456">
        <v>2500</v>
      </c>
      <c r="G108" s="540">
        <v>3567.5</v>
      </c>
      <c r="H108" s="861">
        <v>2432.29</v>
      </c>
      <c r="I108" s="978">
        <v>0</v>
      </c>
      <c r="J108" s="953">
        <v>2500</v>
      </c>
      <c r="K108" s="953">
        <v>0</v>
      </c>
      <c r="L108" s="962">
        <f t="shared" si="48"/>
        <v>2500</v>
      </c>
      <c r="M108" s="609">
        <f t="shared" si="47"/>
        <v>100</v>
      </c>
      <c r="N108" s="612">
        <f t="shared" si="44"/>
        <v>70.077084793272604</v>
      </c>
      <c r="O108" s="838"/>
      <c r="P108" s="444"/>
      <c r="Q108" s="444"/>
      <c r="R108" s="444"/>
      <c r="S108" s="444"/>
      <c r="T108" s="444"/>
      <c r="U108" s="444"/>
      <c r="V108" s="444"/>
    </row>
    <row r="109" spans="1:22" s="70" customFormat="1" ht="33" customHeight="1" thickBot="1" x14ac:dyDescent="0.25">
      <c r="A109" s="489">
        <v>3421</v>
      </c>
      <c r="B109" s="1293" t="s">
        <v>485</v>
      </c>
      <c r="C109" s="1294"/>
      <c r="D109" s="456">
        <v>0</v>
      </c>
      <c r="E109" s="455">
        <v>1075.1300000000001</v>
      </c>
      <c r="F109" s="456">
        <v>0</v>
      </c>
      <c r="G109" s="540">
        <v>0</v>
      </c>
      <c r="H109" s="861">
        <v>0</v>
      </c>
      <c r="I109" s="978">
        <v>0</v>
      </c>
      <c r="J109" s="953">
        <v>0</v>
      </c>
      <c r="K109" s="953">
        <v>0</v>
      </c>
      <c r="L109" s="962">
        <f>SUM(I109:K109)</f>
        <v>0</v>
      </c>
      <c r="M109" s="609" t="s">
        <v>60</v>
      </c>
      <c r="N109" s="612" t="s">
        <v>60</v>
      </c>
      <c r="O109" s="838"/>
      <c r="P109" s="444"/>
      <c r="Q109" s="444"/>
      <c r="R109" s="444"/>
      <c r="S109" s="444"/>
      <c r="T109" s="444"/>
      <c r="U109" s="444"/>
      <c r="V109" s="444"/>
    </row>
    <row r="110" spans="1:22" s="90" customFormat="1" ht="20.100000000000001" customHeight="1" thickBot="1" x14ac:dyDescent="0.25">
      <c r="A110" s="181"/>
      <c r="B110" s="182" t="s">
        <v>85</v>
      </c>
      <c r="C110" s="615"/>
      <c r="D110" s="181">
        <f>+D9+D25+D38+D48+D59+D64+D69+D76+D85+D93+SUM(D103:D108)</f>
        <v>1155417</v>
      </c>
      <c r="E110" s="182">
        <f t="shared" ref="E110:L110" si="49">+E9+E25+E38+E48+E59+E64+E69+E76+E85+E93+SUM(E101:E109)</f>
        <v>1021737.71</v>
      </c>
      <c r="F110" s="181">
        <f t="shared" si="49"/>
        <v>1170643</v>
      </c>
      <c r="G110" s="183">
        <f t="shared" si="49"/>
        <v>1183334.17</v>
      </c>
      <c r="H110" s="182">
        <f t="shared" si="49"/>
        <v>755275.23999999987</v>
      </c>
      <c r="I110" s="181">
        <f t="shared" si="49"/>
        <v>823551</v>
      </c>
      <c r="J110" s="956">
        <f t="shared" si="49"/>
        <v>220092</v>
      </c>
      <c r="K110" s="191">
        <f t="shared" si="49"/>
        <v>77500</v>
      </c>
      <c r="L110" s="981">
        <f t="shared" si="49"/>
        <v>1121143</v>
      </c>
      <c r="M110" s="613">
        <f>L110/F110*100</f>
        <v>95.771554607168881</v>
      </c>
      <c r="N110" s="614">
        <f t="shared" ref="N110" si="50">L110/G110*100</f>
        <v>94.744411884936952</v>
      </c>
      <c r="O110" s="838"/>
    </row>
    <row r="111" spans="1:22" ht="15" x14ac:dyDescent="0.2">
      <c r="O111" s="838"/>
    </row>
    <row r="112" spans="1:22" ht="15" x14ac:dyDescent="0.2">
      <c r="D112" s="147"/>
      <c r="F112" s="147"/>
      <c r="L112" s="147"/>
      <c r="O112" s="838"/>
    </row>
    <row r="113" spans="4:13" x14ac:dyDescent="0.2">
      <c r="D113" s="147"/>
      <c r="F113" s="147"/>
      <c r="L113" s="147"/>
      <c r="M113" s="1173"/>
    </row>
  </sheetData>
  <mergeCells count="109">
    <mergeCell ref="B102:C102"/>
    <mergeCell ref="A85:C85"/>
    <mergeCell ref="B109:C109"/>
    <mergeCell ref="B108:C108"/>
    <mergeCell ref="B107:C107"/>
    <mergeCell ref="B98:C98"/>
    <mergeCell ref="A25:C25"/>
    <mergeCell ref="B26:C26"/>
    <mergeCell ref="B106:C106"/>
    <mergeCell ref="B104:C104"/>
    <mergeCell ref="B89:C89"/>
    <mergeCell ref="B91:C91"/>
    <mergeCell ref="B94:C94"/>
    <mergeCell ref="B95:C95"/>
    <mergeCell ref="B96:C96"/>
    <mergeCell ref="A93:C93"/>
    <mergeCell ref="B92:C92"/>
    <mergeCell ref="B105:C105"/>
    <mergeCell ref="B103:C103"/>
    <mergeCell ref="B100:C100"/>
    <mergeCell ref="B78:C78"/>
    <mergeCell ref="B54:C54"/>
    <mergeCell ref="B55:C55"/>
    <mergeCell ref="B56:C56"/>
    <mergeCell ref="B83:C83"/>
    <mergeCell ref="A2:N2"/>
    <mergeCell ref="A6:A7"/>
    <mergeCell ref="D6:E6"/>
    <mergeCell ref="F6:H6"/>
    <mergeCell ref="I6:L6"/>
    <mergeCell ref="M6:M7"/>
    <mergeCell ref="N6:N7"/>
    <mergeCell ref="B6:C7"/>
    <mergeCell ref="B23:C23"/>
    <mergeCell ref="A22:A24"/>
    <mergeCell ref="B22:C22"/>
    <mergeCell ref="A9:C9"/>
    <mergeCell ref="B20:C20"/>
    <mergeCell ref="B21:C21"/>
    <mergeCell ref="B12:C12"/>
    <mergeCell ref="B13:C13"/>
    <mergeCell ref="B14:C14"/>
    <mergeCell ref="B15:C15"/>
    <mergeCell ref="B10:C10"/>
    <mergeCell ref="A64:C64"/>
    <mergeCell ref="A69:C69"/>
    <mergeCell ref="B27:C27"/>
    <mergeCell ref="B28:C28"/>
    <mergeCell ref="B101:C101"/>
    <mergeCell ref="B18:C18"/>
    <mergeCell ref="B16:C16"/>
    <mergeCell ref="B11:C11"/>
    <mergeCell ref="B17:C17"/>
    <mergeCell ref="B19:C19"/>
    <mergeCell ref="B82:C82"/>
    <mergeCell ref="B77:C77"/>
    <mergeCell ref="B65:C65"/>
    <mergeCell ref="B86:C86"/>
    <mergeCell ref="B58:C58"/>
    <mergeCell ref="B73:C73"/>
    <mergeCell ref="B37:C37"/>
    <mergeCell ref="B31:C31"/>
    <mergeCell ref="B32:C32"/>
    <mergeCell ref="B81:C81"/>
    <mergeCell ref="B90:C90"/>
    <mergeCell ref="B84:C84"/>
    <mergeCell ref="B87:C87"/>
    <mergeCell ref="B70:C70"/>
    <mergeCell ref="B88:C88"/>
    <mergeCell ref="B24:C24"/>
    <mergeCell ref="A48:C48"/>
    <mergeCell ref="A59:C59"/>
    <mergeCell ref="B29:C29"/>
    <mergeCell ref="B30:C30"/>
    <mergeCell ref="B33:C33"/>
    <mergeCell ref="B35:C35"/>
    <mergeCell ref="B34:C34"/>
    <mergeCell ref="B68:C68"/>
    <mergeCell ref="B63:C63"/>
    <mergeCell ref="B60:C60"/>
    <mergeCell ref="B53:C53"/>
    <mergeCell ref="B67:C67"/>
    <mergeCell ref="B62:C62"/>
    <mergeCell ref="B66:C66"/>
    <mergeCell ref="B57:C57"/>
    <mergeCell ref="B80:C80"/>
    <mergeCell ref="B99:C99"/>
    <mergeCell ref="B46:C46"/>
    <mergeCell ref="B36:C36"/>
    <mergeCell ref="A38:C38"/>
    <mergeCell ref="B39:C39"/>
    <mergeCell ref="B40:C40"/>
    <mergeCell ref="B41:C41"/>
    <mergeCell ref="B45:C45"/>
    <mergeCell ref="B43:C43"/>
    <mergeCell ref="B74:C74"/>
    <mergeCell ref="B71:C71"/>
    <mergeCell ref="B47:C47"/>
    <mergeCell ref="B49:C49"/>
    <mergeCell ref="B50:C50"/>
    <mergeCell ref="B51:C51"/>
    <mergeCell ref="B52:C52"/>
    <mergeCell ref="B75:C75"/>
    <mergeCell ref="B72:C72"/>
    <mergeCell ref="B79:C79"/>
    <mergeCell ref="B44:C44"/>
    <mergeCell ref="B42:C42"/>
    <mergeCell ref="B61:C61"/>
    <mergeCell ref="B97:C97"/>
  </mergeCells>
  <printOptions horizontalCentered="1"/>
  <pageMargins left="0.59055118110236227" right="0.59055118110236227" top="0.78740157480314965" bottom="0.78740157480314965" header="0.59055118110236227" footer="0.59055118110236227"/>
  <pageSetup paperSize="9" scale="65" fitToHeight="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II81"/>
  <sheetViews>
    <sheetView workbookViewId="0"/>
  </sheetViews>
  <sheetFormatPr defaultColWidth="9.140625" defaultRowHeight="12.75" x14ac:dyDescent="0.2"/>
  <cols>
    <col min="1" max="1" width="8.140625" style="67" customWidth="1"/>
    <col min="2" max="2" width="6.7109375" style="67" customWidth="1"/>
    <col min="3" max="3" width="40.7109375" style="67" customWidth="1"/>
    <col min="4" max="4" width="14.7109375" style="72" customWidth="1"/>
    <col min="5" max="5" width="14.7109375" style="147" customWidth="1"/>
    <col min="6" max="6" width="14.7109375" style="72" customWidth="1"/>
    <col min="7" max="7" width="16.5703125" style="147" customWidth="1"/>
    <col min="8" max="9" width="14.7109375" style="147" customWidth="1"/>
    <col min="10" max="10" width="15.28515625" style="147" customWidth="1"/>
    <col min="11" max="11" width="14.7109375" style="147" customWidth="1"/>
    <col min="12" max="12" width="14.7109375" style="658" customWidth="1"/>
    <col min="13" max="14" width="9.7109375" style="148" customWidth="1"/>
    <col min="15" max="16384" width="9.140625" style="67"/>
  </cols>
  <sheetData>
    <row r="1" spans="1:14" ht="15" customHeight="1" x14ac:dyDescent="0.2">
      <c r="N1" s="149"/>
    </row>
    <row r="2" spans="1:14" ht="20.100000000000001" customHeight="1" x14ac:dyDescent="0.35">
      <c r="A2" s="1303" t="s">
        <v>508</v>
      </c>
      <c r="B2" s="1196"/>
      <c r="C2" s="1196"/>
      <c r="D2" s="1196"/>
      <c r="E2" s="1196"/>
      <c r="F2" s="1196"/>
      <c r="G2" s="1196"/>
      <c r="H2" s="1196"/>
      <c r="I2" s="1196"/>
      <c r="J2" s="1196"/>
      <c r="K2" s="1196"/>
      <c r="L2" s="1196"/>
      <c r="M2" s="1196"/>
      <c r="N2" s="1304"/>
    </row>
    <row r="3" spans="1:14" ht="15" customHeight="1" x14ac:dyDescent="0.2"/>
    <row r="4" spans="1:14" ht="20.100000000000001" customHeight="1" x14ac:dyDescent="0.2">
      <c r="A4" s="68" t="s">
        <v>199</v>
      </c>
      <c r="G4" s="1373"/>
      <c r="H4" s="1373"/>
      <c r="M4" s="335"/>
    </row>
    <row r="5" spans="1:14" ht="15" customHeight="1" thickBot="1" x14ac:dyDescent="0.25">
      <c r="A5" s="68"/>
      <c r="N5" s="335" t="s">
        <v>0</v>
      </c>
    </row>
    <row r="6" spans="1:14" s="151" customFormat="1" ht="15.95" customHeight="1" x14ac:dyDescent="0.2">
      <c r="A6" s="1305" t="s">
        <v>88</v>
      </c>
      <c r="B6" s="1314" t="s">
        <v>103</v>
      </c>
      <c r="C6" s="1315"/>
      <c r="D6" s="1198" t="s">
        <v>365</v>
      </c>
      <c r="E6" s="1199"/>
      <c r="F6" s="1198" t="s">
        <v>440</v>
      </c>
      <c r="G6" s="1202"/>
      <c r="H6" s="1199"/>
      <c r="I6" s="1307" t="s">
        <v>507</v>
      </c>
      <c r="J6" s="1308"/>
      <c r="K6" s="1308"/>
      <c r="L6" s="1309"/>
      <c r="M6" s="1310" t="s">
        <v>509</v>
      </c>
      <c r="N6" s="1312" t="s">
        <v>510</v>
      </c>
    </row>
    <row r="7" spans="1:14" s="151" customFormat="1" ht="27" customHeight="1" thickBot="1" x14ac:dyDescent="0.25">
      <c r="A7" s="1306"/>
      <c r="B7" s="1316"/>
      <c r="C7" s="1317"/>
      <c r="D7" s="177" t="s">
        <v>108</v>
      </c>
      <c r="E7" s="178" t="s">
        <v>126</v>
      </c>
      <c r="F7" s="264" t="s">
        <v>109</v>
      </c>
      <c r="G7" s="265" t="s">
        <v>589</v>
      </c>
      <c r="H7" s="266" t="s">
        <v>591</v>
      </c>
      <c r="I7" s="824" t="s">
        <v>124</v>
      </c>
      <c r="J7" s="825" t="s">
        <v>125</v>
      </c>
      <c r="K7" s="826" t="s">
        <v>314</v>
      </c>
      <c r="L7" s="821" t="s">
        <v>85</v>
      </c>
      <c r="M7" s="1311"/>
      <c r="N7" s="1313"/>
    </row>
    <row r="8" spans="1:14" s="69" customFormat="1" ht="20.100000000000001" customHeight="1" thickBot="1" x14ac:dyDescent="0.25">
      <c r="B8" s="336" t="s">
        <v>104</v>
      </c>
      <c r="C8" s="336"/>
      <c r="D8" s="337"/>
      <c r="E8" s="338"/>
      <c r="F8" s="337"/>
      <c r="G8" s="155"/>
      <c r="H8" s="155"/>
      <c r="I8" s="155"/>
      <c r="J8" s="155"/>
      <c r="K8" s="155"/>
      <c r="L8" s="828"/>
      <c r="M8" s="663"/>
      <c r="N8" s="663"/>
    </row>
    <row r="9" spans="1:14" s="69" customFormat="1" ht="35.25" customHeight="1" x14ac:dyDescent="0.2">
      <c r="A9" s="491">
        <v>2143</v>
      </c>
      <c r="B9" s="1301" t="s">
        <v>571</v>
      </c>
      <c r="C9" s="1302"/>
      <c r="D9" s="472">
        <v>8700</v>
      </c>
      <c r="E9" s="554">
        <v>8525</v>
      </c>
      <c r="F9" s="472">
        <v>9600</v>
      </c>
      <c r="G9" s="563">
        <v>9404.7999999999993</v>
      </c>
      <c r="H9" s="440">
        <v>7514.8</v>
      </c>
      <c r="I9" s="472">
        <v>5500</v>
      </c>
      <c r="J9" s="438">
        <v>2500</v>
      </c>
      <c r="K9" s="1021">
        <v>1600</v>
      </c>
      <c r="L9" s="961">
        <f t="shared" ref="L9:L17" si="0">SUM(I9:K9)</f>
        <v>9600</v>
      </c>
      <c r="M9" s="441">
        <f t="shared" ref="M9:M17" si="1">L9/F9*100</f>
        <v>100</v>
      </c>
      <c r="N9" s="442">
        <f t="shared" ref="N9:N17" si="2">L9/G9*100</f>
        <v>102.07553589656347</v>
      </c>
    </row>
    <row r="10" spans="1:14" s="69" customFormat="1" ht="20.100000000000001" customHeight="1" x14ac:dyDescent="0.2">
      <c r="A10" s="637">
        <v>2143</v>
      </c>
      <c r="B10" s="1293" t="s">
        <v>385</v>
      </c>
      <c r="C10" s="1294"/>
      <c r="D10" s="512">
        <v>940</v>
      </c>
      <c r="E10" s="550">
        <v>1080</v>
      </c>
      <c r="F10" s="512">
        <v>1130</v>
      </c>
      <c r="G10" s="564">
        <v>1130</v>
      </c>
      <c r="H10" s="450">
        <v>1130</v>
      </c>
      <c r="I10" s="897">
        <v>1130</v>
      </c>
      <c r="J10" s="513">
        <v>0</v>
      </c>
      <c r="K10" s="1057">
        <v>0</v>
      </c>
      <c r="L10" s="962">
        <f t="shared" si="0"/>
        <v>1130</v>
      </c>
      <c r="M10" s="451">
        <f t="shared" ref="M10" si="3">L10/F10*100</f>
        <v>100</v>
      </c>
      <c r="N10" s="452">
        <f t="shared" ref="N10" si="4">L10/G10*100</f>
        <v>100</v>
      </c>
    </row>
    <row r="11" spans="1:14" s="69" customFormat="1" ht="20.100000000000001" customHeight="1" x14ac:dyDescent="0.2">
      <c r="A11" s="483">
        <v>2143</v>
      </c>
      <c r="B11" s="1365" t="s">
        <v>310</v>
      </c>
      <c r="C11" s="1366"/>
      <c r="D11" s="512">
        <v>0</v>
      </c>
      <c r="E11" s="555">
        <v>1234.2</v>
      </c>
      <c r="F11" s="512">
        <v>0</v>
      </c>
      <c r="G11" s="564">
        <v>0</v>
      </c>
      <c r="H11" s="449">
        <v>0</v>
      </c>
      <c r="I11" s="897">
        <v>0</v>
      </c>
      <c r="J11" s="513">
        <v>0</v>
      </c>
      <c r="K11" s="1057">
        <v>0</v>
      </c>
      <c r="L11" s="962">
        <f t="shared" si="0"/>
        <v>0</v>
      </c>
      <c r="M11" s="451" t="s">
        <v>60</v>
      </c>
      <c r="N11" s="452" t="s">
        <v>60</v>
      </c>
    </row>
    <row r="12" spans="1:14" s="69" customFormat="1" ht="30" customHeight="1" x14ac:dyDescent="0.2">
      <c r="A12" s="483">
        <v>2143</v>
      </c>
      <c r="B12" s="1365" t="s">
        <v>540</v>
      </c>
      <c r="C12" s="1366"/>
      <c r="D12" s="512">
        <v>500</v>
      </c>
      <c r="E12" s="555">
        <v>400</v>
      </c>
      <c r="F12" s="512">
        <v>700</v>
      </c>
      <c r="G12" s="564">
        <v>700</v>
      </c>
      <c r="H12" s="550">
        <v>183</v>
      </c>
      <c r="I12" s="897">
        <v>350</v>
      </c>
      <c r="J12" s="513">
        <v>350</v>
      </c>
      <c r="K12" s="1057">
        <v>0</v>
      </c>
      <c r="L12" s="962">
        <f t="shared" si="0"/>
        <v>700</v>
      </c>
      <c r="M12" s="451">
        <f t="shared" ref="M12:M16" si="5">L12/F12*100</f>
        <v>100</v>
      </c>
      <c r="N12" s="452">
        <f t="shared" ref="N12:N16" si="6">L12/G12*100</f>
        <v>100</v>
      </c>
    </row>
    <row r="13" spans="1:14" s="69" customFormat="1" ht="20.100000000000001" customHeight="1" x14ac:dyDescent="0.2">
      <c r="A13" s="483">
        <v>2143</v>
      </c>
      <c r="B13" s="1365" t="s">
        <v>513</v>
      </c>
      <c r="C13" s="1366"/>
      <c r="D13" s="512">
        <v>0</v>
      </c>
      <c r="E13" s="555">
        <v>200</v>
      </c>
      <c r="F13" s="512">
        <v>0</v>
      </c>
      <c r="G13" s="564">
        <v>0</v>
      </c>
      <c r="H13" s="550">
        <v>0</v>
      </c>
      <c r="I13" s="897">
        <v>0</v>
      </c>
      <c r="J13" s="513">
        <v>0</v>
      </c>
      <c r="K13" s="1068">
        <v>0</v>
      </c>
      <c r="L13" s="962">
        <v>0</v>
      </c>
      <c r="M13" s="451" t="s">
        <v>60</v>
      </c>
      <c r="N13" s="452" t="s">
        <v>60</v>
      </c>
    </row>
    <row r="14" spans="1:14" s="69" customFormat="1" ht="20.100000000000001" customHeight="1" x14ac:dyDescent="0.2">
      <c r="A14" s="489">
        <v>2143</v>
      </c>
      <c r="B14" s="1295" t="s">
        <v>309</v>
      </c>
      <c r="C14" s="1296"/>
      <c r="D14" s="512">
        <v>206</v>
      </c>
      <c r="E14" s="555">
        <v>205.7</v>
      </c>
      <c r="F14" s="512">
        <v>206</v>
      </c>
      <c r="G14" s="516">
        <v>206</v>
      </c>
      <c r="H14" s="555">
        <v>0</v>
      </c>
      <c r="I14" s="512">
        <v>206</v>
      </c>
      <c r="J14" s="834">
        <v>0</v>
      </c>
      <c r="K14" s="834">
        <v>0</v>
      </c>
      <c r="L14" s="962">
        <f t="shared" si="0"/>
        <v>206</v>
      </c>
      <c r="M14" s="451">
        <f t="shared" si="5"/>
        <v>100</v>
      </c>
      <c r="N14" s="452">
        <f t="shared" si="6"/>
        <v>100</v>
      </c>
    </row>
    <row r="15" spans="1:14" s="69" customFormat="1" ht="20.100000000000001" customHeight="1" x14ac:dyDescent="0.2">
      <c r="A15" s="489">
        <v>2143</v>
      </c>
      <c r="B15" s="1295" t="s">
        <v>188</v>
      </c>
      <c r="C15" s="1296"/>
      <c r="D15" s="512">
        <v>1000</v>
      </c>
      <c r="E15" s="555">
        <v>0</v>
      </c>
      <c r="F15" s="512">
        <v>1050</v>
      </c>
      <c r="G15" s="516">
        <v>2100</v>
      </c>
      <c r="H15" s="555">
        <v>1050</v>
      </c>
      <c r="I15" s="512">
        <v>0</v>
      </c>
      <c r="J15" s="834">
        <v>0</v>
      </c>
      <c r="K15" s="834">
        <v>1050</v>
      </c>
      <c r="L15" s="962">
        <f t="shared" si="0"/>
        <v>1050</v>
      </c>
      <c r="M15" s="451">
        <f t="shared" si="5"/>
        <v>100</v>
      </c>
      <c r="N15" s="452">
        <f t="shared" si="6"/>
        <v>50</v>
      </c>
    </row>
    <row r="16" spans="1:14" s="69" customFormat="1" ht="20.100000000000001" customHeight="1" x14ac:dyDescent="0.2">
      <c r="A16" s="489">
        <v>2143</v>
      </c>
      <c r="B16" s="1295" t="s">
        <v>386</v>
      </c>
      <c r="C16" s="1296"/>
      <c r="D16" s="512">
        <v>2000</v>
      </c>
      <c r="E16" s="555">
        <v>2000</v>
      </c>
      <c r="F16" s="512">
        <v>2000</v>
      </c>
      <c r="G16" s="516">
        <v>2500</v>
      </c>
      <c r="H16" s="555">
        <v>0</v>
      </c>
      <c r="I16" s="512">
        <v>0</v>
      </c>
      <c r="J16" s="834">
        <v>0</v>
      </c>
      <c r="K16" s="834">
        <v>2000</v>
      </c>
      <c r="L16" s="962">
        <f t="shared" ref="L16" si="7">SUM(I16:K16)</f>
        <v>2000</v>
      </c>
      <c r="M16" s="451">
        <f t="shared" si="5"/>
        <v>100</v>
      </c>
      <c r="N16" s="452">
        <f t="shared" si="6"/>
        <v>80</v>
      </c>
    </row>
    <row r="17" spans="1:243" s="69" customFormat="1" ht="30" customHeight="1" x14ac:dyDescent="0.2">
      <c r="A17" s="1299">
        <v>2143</v>
      </c>
      <c r="B17" s="1295" t="s">
        <v>402</v>
      </c>
      <c r="C17" s="1296"/>
      <c r="D17" s="512">
        <f>SUM(D18:D22)</f>
        <v>44421</v>
      </c>
      <c r="E17" s="555">
        <f>SUM(E18:E22)</f>
        <v>45045</v>
      </c>
      <c r="F17" s="512">
        <f t="shared" ref="F17:K17" si="8">SUM(F18:F22)</f>
        <v>43677</v>
      </c>
      <c r="G17" s="516">
        <f t="shared" si="8"/>
        <v>48414.5</v>
      </c>
      <c r="H17" s="555">
        <f t="shared" si="8"/>
        <v>33858</v>
      </c>
      <c r="I17" s="512">
        <f t="shared" si="8"/>
        <v>33137</v>
      </c>
      <c r="J17" s="834">
        <f t="shared" si="8"/>
        <v>7671</v>
      </c>
      <c r="K17" s="834">
        <f t="shared" si="8"/>
        <v>2989</v>
      </c>
      <c r="L17" s="962">
        <f t="shared" si="0"/>
        <v>43797</v>
      </c>
      <c r="M17" s="451">
        <f t="shared" si="1"/>
        <v>100.27474414451542</v>
      </c>
      <c r="N17" s="452">
        <f t="shared" si="2"/>
        <v>90.462568032304375</v>
      </c>
    </row>
    <row r="18" spans="1:243" s="69" customFormat="1" ht="15" customHeight="1" x14ac:dyDescent="0.2">
      <c r="A18" s="1300"/>
      <c r="B18" s="1370" t="s">
        <v>96</v>
      </c>
      <c r="C18" s="638" t="s">
        <v>138</v>
      </c>
      <c r="D18" s="83">
        <v>622</v>
      </c>
      <c r="E18" s="125">
        <v>622</v>
      </c>
      <c r="F18" s="83">
        <v>622</v>
      </c>
      <c r="G18" s="414">
        <v>622</v>
      </c>
      <c r="H18" s="125">
        <v>466.49</v>
      </c>
      <c r="I18" s="83">
        <v>0</v>
      </c>
      <c r="J18" s="1014">
        <v>622</v>
      </c>
      <c r="K18" s="1014">
        <v>0</v>
      </c>
      <c r="L18" s="1011">
        <f>SUM(I18:K18)</f>
        <v>622</v>
      </c>
      <c r="M18" s="78">
        <f>L18/F18*100</f>
        <v>100</v>
      </c>
      <c r="N18" s="79">
        <f>L18/G18*100</f>
        <v>100</v>
      </c>
    </row>
    <row r="19" spans="1:243" s="69" customFormat="1" ht="15" customHeight="1" x14ac:dyDescent="0.2">
      <c r="A19" s="1300"/>
      <c r="B19" s="1371"/>
      <c r="C19" s="638" t="s">
        <v>137</v>
      </c>
      <c r="D19" s="83">
        <v>19415</v>
      </c>
      <c r="E19" s="125">
        <v>19975</v>
      </c>
      <c r="F19" s="83">
        <v>12706</v>
      </c>
      <c r="G19" s="414">
        <v>16056</v>
      </c>
      <c r="H19" s="125">
        <v>9529.5</v>
      </c>
      <c r="I19" s="83">
        <v>12706</v>
      </c>
      <c r="J19" s="1014">
        <v>0</v>
      </c>
      <c r="K19" s="1014">
        <v>0</v>
      </c>
      <c r="L19" s="1011">
        <f t="shared" ref="L19" si="9">SUM(I19:K19)</f>
        <v>12706</v>
      </c>
      <c r="M19" s="78">
        <f>L19/F19*100</f>
        <v>100</v>
      </c>
      <c r="N19" s="79">
        <f t="shared" ref="N19" si="10">L19/G19*100</f>
        <v>79.13552566018933</v>
      </c>
    </row>
    <row r="20" spans="1:243" s="69" customFormat="1" ht="15" customHeight="1" x14ac:dyDescent="0.2">
      <c r="A20" s="1300"/>
      <c r="B20" s="1371"/>
      <c r="C20" s="638" t="s">
        <v>414</v>
      </c>
      <c r="D20" s="83">
        <v>896</v>
      </c>
      <c r="E20" s="82">
        <v>896</v>
      </c>
      <c r="F20" s="83">
        <v>896</v>
      </c>
      <c r="G20" s="414">
        <v>896</v>
      </c>
      <c r="H20" s="95">
        <v>671.99</v>
      </c>
      <c r="I20" s="83">
        <v>896</v>
      </c>
      <c r="J20" s="1014">
        <v>0</v>
      </c>
      <c r="K20" s="1014">
        <v>0</v>
      </c>
      <c r="L20" s="1011">
        <f t="shared" ref="L20" si="11">SUM(I20:K20)</f>
        <v>896</v>
      </c>
      <c r="M20" s="78">
        <f>L20/F20*100</f>
        <v>100</v>
      </c>
      <c r="N20" s="79">
        <f>L20/G20*100</f>
        <v>100</v>
      </c>
    </row>
    <row r="21" spans="1:243" s="69" customFormat="1" ht="15" customHeight="1" x14ac:dyDescent="0.2">
      <c r="A21" s="1300"/>
      <c r="B21" s="1371"/>
      <c r="C21" s="638" t="s">
        <v>376</v>
      </c>
      <c r="D21" s="83">
        <v>18488</v>
      </c>
      <c r="E21" s="125">
        <v>18552</v>
      </c>
      <c r="F21" s="83">
        <v>20488</v>
      </c>
      <c r="G21" s="414">
        <v>20875.5</v>
      </c>
      <c r="H21" s="125">
        <v>15366</v>
      </c>
      <c r="I21" s="83">
        <f>17415+120</f>
        <v>17535</v>
      </c>
      <c r="J21" s="1014">
        <v>2049</v>
      </c>
      <c r="K21" s="1014">
        <v>1024</v>
      </c>
      <c r="L21" s="1011">
        <f>SUM(I21:K21)</f>
        <v>20608</v>
      </c>
      <c r="M21" s="78">
        <f>L21/F21*100</f>
        <v>100.58570870753611</v>
      </c>
      <c r="N21" s="79">
        <f>L21/G21*100</f>
        <v>98.718593566621166</v>
      </c>
    </row>
    <row r="22" spans="1:243" s="69" customFormat="1" ht="15" customHeight="1" x14ac:dyDescent="0.2">
      <c r="A22" s="1321"/>
      <c r="B22" s="1372"/>
      <c r="C22" s="638" t="s">
        <v>405</v>
      </c>
      <c r="D22" s="83">
        <v>5000</v>
      </c>
      <c r="E22" s="125">
        <v>5000</v>
      </c>
      <c r="F22" s="83">
        <v>8965</v>
      </c>
      <c r="G22" s="414">
        <v>9965</v>
      </c>
      <c r="H22" s="125">
        <v>7824.02</v>
      </c>
      <c r="I22" s="83">
        <v>2000</v>
      </c>
      <c r="J22" s="1014">
        <v>5000</v>
      </c>
      <c r="K22" s="1014">
        <v>1965</v>
      </c>
      <c r="L22" s="1011">
        <f t="shared" ref="L22" si="12">SUM(I22:K22)</f>
        <v>8965</v>
      </c>
      <c r="M22" s="78">
        <f t="shared" ref="M22" si="13">L22/F22*100</f>
        <v>100</v>
      </c>
      <c r="N22" s="79">
        <f t="shared" ref="N22" si="14">L22/G22*100</f>
        <v>89.964877069744105</v>
      </c>
    </row>
    <row r="23" spans="1:243" s="524" customFormat="1" ht="66" customHeight="1" x14ac:dyDescent="0.2">
      <c r="A23" s="637">
        <v>3311</v>
      </c>
      <c r="B23" s="1365" t="s">
        <v>319</v>
      </c>
      <c r="C23" s="1366"/>
      <c r="D23" s="445">
        <v>4000</v>
      </c>
      <c r="E23" s="448">
        <v>3999</v>
      </c>
      <c r="F23" s="508">
        <v>5500</v>
      </c>
      <c r="G23" s="449">
        <v>5500</v>
      </c>
      <c r="H23" s="450">
        <v>5499</v>
      </c>
      <c r="I23" s="897">
        <v>0</v>
      </c>
      <c r="J23" s="513">
        <v>5500</v>
      </c>
      <c r="K23" s="1057">
        <v>0</v>
      </c>
      <c r="L23" s="1020">
        <f t="shared" ref="L23:L37" si="15">SUM(I23:K23)</f>
        <v>5500</v>
      </c>
      <c r="M23" s="451">
        <f>L23/F23*100</f>
        <v>100</v>
      </c>
      <c r="N23" s="452">
        <f>L23/G23*100</f>
        <v>100</v>
      </c>
    </row>
    <row r="24" spans="1:243" s="470" customFormat="1" ht="29.25" customHeight="1" x14ac:dyDescent="0.2">
      <c r="A24" s="1300">
        <v>3314</v>
      </c>
      <c r="B24" s="1365" t="s">
        <v>200</v>
      </c>
      <c r="C24" s="1366"/>
      <c r="D24" s="477">
        <f>SUM(D25:D28)</f>
        <v>45772</v>
      </c>
      <c r="E24" s="507">
        <f t="shared" ref="E24:K24" si="16">SUM(E25:E28)</f>
        <v>45800</v>
      </c>
      <c r="F24" s="508">
        <f t="shared" si="16"/>
        <v>46230</v>
      </c>
      <c r="G24" s="479">
        <f t="shared" si="16"/>
        <v>46330.5</v>
      </c>
      <c r="H24" s="486">
        <f t="shared" si="16"/>
        <v>34672.480000000003</v>
      </c>
      <c r="I24" s="1022">
        <f t="shared" si="16"/>
        <v>43035</v>
      </c>
      <c r="J24" s="1023">
        <f t="shared" si="16"/>
        <v>3815</v>
      </c>
      <c r="K24" s="1024">
        <f t="shared" si="16"/>
        <v>1500</v>
      </c>
      <c r="L24" s="1020">
        <f t="shared" si="15"/>
        <v>48350</v>
      </c>
      <c r="M24" s="451">
        <f t="shared" ref="M24" si="17">L24/F24*100</f>
        <v>104.5857668180835</v>
      </c>
      <c r="N24" s="452">
        <f t="shared" ref="N24" si="18">L24/G24*100</f>
        <v>104.35889964494231</v>
      </c>
    </row>
    <row r="25" spans="1:243" s="88" customFormat="1" ht="15" customHeight="1" x14ac:dyDescent="0.2">
      <c r="A25" s="1300"/>
      <c r="B25" s="1318" t="s">
        <v>96</v>
      </c>
      <c r="C25" s="638" t="s">
        <v>138</v>
      </c>
      <c r="D25" s="83">
        <v>815</v>
      </c>
      <c r="E25" s="361">
        <v>815</v>
      </c>
      <c r="F25" s="416">
        <v>815</v>
      </c>
      <c r="G25" s="76">
        <v>815</v>
      </c>
      <c r="H25" s="84">
        <v>611.24</v>
      </c>
      <c r="I25" s="416">
        <v>0</v>
      </c>
      <c r="J25" s="963">
        <v>815</v>
      </c>
      <c r="K25" s="964">
        <v>0</v>
      </c>
      <c r="L25" s="1011">
        <f>SUM(I25:K25)</f>
        <v>815</v>
      </c>
      <c r="M25" s="78">
        <f>L25/F25*100</f>
        <v>100</v>
      </c>
      <c r="N25" s="79">
        <f>L25/G25*100</f>
        <v>100</v>
      </c>
      <c r="II25" s="664"/>
    </row>
    <row r="26" spans="1:243" s="88" customFormat="1" ht="15" customHeight="1" x14ac:dyDescent="0.2">
      <c r="A26" s="1300"/>
      <c r="B26" s="1319"/>
      <c r="C26" s="638" t="s">
        <v>137</v>
      </c>
      <c r="D26" s="83">
        <v>8477</v>
      </c>
      <c r="E26" s="361">
        <v>8505</v>
      </c>
      <c r="F26" s="416">
        <v>8935</v>
      </c>
      <c r="G26" s="76">
        <v>8935</v>
      </c>
      <c r="H26" s="84">
        <v>6701.25</v>
      </c>
      <c r="I26" s="416">
        <v>8935</v>
      </c>
      <c r="J26" s="963">
        <v>0</v>
      </c>
      <c r="K26" s="964">
        <v>0</v>
      </c>
      <c r="L26" s="1011">
        <f>SUM(I26:K26)</f>
        <v>8935</v>
      </c>
      <c r="M26" s="78">
        <f>L26/F26*100</f>
        <v>100</v>
      </c>
      <c r="N26" s="79">
        <f>L26/G26*100</f>
        <v>100</v>
      </c>
      <c r="II26" s="664"/>
    </row>
    <row r="27" spans="1:243" s="88" customFormat="1" ht="15" customHeight="1" x14ac:dyDescent="0.2">
      <c r="A27" s="1300"/>
      <c r="B27" s="1319"/>
      <c r="C27" s="638" t="s">
        <v>414</v>
      </c>
      <c r="D27" s="83">
        <v>3796</v>
      </c>
      <c r="E27" s="82">
        <v>3796</v>
      </c>
      <c r="F27" s="83">
        <v>3796</v>
      </c>
      <c r="G27" s="414">
        <v>3796</v>
      </c>
      <c r="H27" s="95">
        <v>2847</v>
      </c>
      <c r="I27" s="416">
        <v>3796</v>
      </c>
      <c r="J27" s="963">
        <v>0</v>
      </c>
      <c r="K27" s="964">
        <v>0</v>
      </c>
      <c r="L27" s="1011">
        <f t="shared" ref="L27" si="19">SUM(I27:K27)</f>
        <v>3796</v>
      </c>
      <c r="M27" s="78">
        <f>L27/F27*100</f>
        <v>100</v>
      </c>
      <c r="N27" s="79">
        <f>L27/G27*100</f>
        <v>100</v>
      </c>
      <c r="II27" s="664"/>
    </row>
    <row r="28" spans="1:243" s="88" customFormat="1" ht="15" customHeight="1" x14ac:dyDescent="0.2">
      <c r="A28" s="1300"/>
      <c r="B28" s="1320"/>
      <c r="C28" s="638" t="s">
        <v>376</v>
      </c>
      <c r="D28" s="83">
        <v>32684</v>
      </c>
      <c r="E28" s="361">
        <v>32684</v>
      </c>
      <c r="F28" s="416">
        <v>32684</v>
      </c>
      <c r="G28" s="76">
        <v>32784.5</v>
      </c>
      <c r="H28" s="84">
        <v>24512.99</v>
      </c>
      <c r="I28" s="416">
        <v>30304</v>
      </c>
      <c r="J28" s="963">
        <v>3000</v>
      </c>
      <c r="K28" s="964">
        <v>1500</v>
      </c>
      <c r="L28" s="1011">
        <f>SUM(I28:K28)</f>
        <v>34804</v>
      </c>
      <c r="M28" s="78">
        <f>L28/F28*100</f>
        <v>106.48635417941502</v>
      </c>
      <c r="N28" s="79">
        <f>L28/G28*100</f>
        <v>106.15992313440803</v>
      </c>
      <c r="II28" s="664"/>
    </row>
    <row r="29" spans="1:243" s="470" customFormat="1" ht="30" customHeight="1" x14ac:dyDescent="0.2">
      <c r="A29" s="1299">
        <v>3314</v>
      </c>
      <c r="B29" s="1293" t="s">
        <v>496</v>
      </c>
      <c r="C29" s="1294"/>
      <c r="D29" s="477">
        <f>SUM(D30:D35)</f>
        <v>17854</v>
      </c>
      <c r="E29" s="507">
        <f t="shared" ref="E29:K29" si="20">SUM(E30:E35)</f>
        <v>17854</v>
      </c>
      <c r="F29" s="456">
        <f>SUM(F30:F35)</f>
        <v>18283</v>
      </c>
      <c r="G29" s="479">
        <f t="shared" si="20"/>
        <v>18283</v>
      </c>
      <c r="H29" s="486">
        <f t="shared" si="20"/>
        <v>7524.75</v>
      </c>
      <c r="I29" s="1022">
        <f t="shared" si="20"/>
        <v>18033</v>
      </c>
      <c r="J29" s="1023">
        <f t="shared" si="20"/>
        <v>250</v>
      </c>
      <c r="K29" s="1024">
        <f t="shared" si="20"/>
        <v>0</v>
      </c>
      <c r="L29" s="962">
        <f t="shared" si="15"/>
        <v>18283</v>
      </c>
      <c r="M29" s="459">
        <f t="shared" ref="M29:M36" si="21">L29/F29*100</f>
        <v>100</v>
      </c>
      <c r="N29" s="460">
        <f t="shared" ref="N29:N37" si="22">L29/G29*100</f>
        <v>100</v>
      </c>
    </row>
    <row r="30" spans="1:243" s="88" customFormat="1" ht="15" customHeight="1" x14ac:dyDescent="0.2">
      <c r="A30" s="1300"/>
      <c r="B30" s="1367" t="s">
        <v>96</v>
      </c>
      <c r="C30" s="667" t="s">
        <v>204</v>
      </c>
      <c r="D30" s="74">
        <v>7920</v>
      </c>
      <c r="E30" s="361">
        <v>7920</v>
      </c>
      <c r="F30" s="416">
        <v>8250</v>
      </c>
      <c r="G30" s="76">
        <v>8250</v>
      </c>
      <c r="H30" s="84">
        <v>0</v>
      </c>
      <c r="I30" s="872">
        <v>8000</v>
      </c>
      <c r="J30" s="963">
        <v>250</v>
      </c>
      <c r="K30" s="964">
        <v>0</v>
      </c>
      <c r="L30" s="1011">
        <f t="shared" si="15"/>
        <v>8250</v>
      </c>
      <c r="M30" s="78">
        <f t="shared" si="21"/>
        <v>100</v>
      </c>
      <c r="N30" s="79">
        <f t="shared" si="22"/>
        <v>100</v>
      </c>
    </row>
    <row r="31" spans="1:243" s="88" customFormat="1" ht="38.25" customHeight="1" x14ac:dyDescent="0.2">
      <c r="A31" s="1300"/>
      <c r="B31" s="1368"/>
      <c r="C31" s="983" t="s">
        <v>541</v>
      </c>
      <c r="D31" s="74">
        <v>0</v>
      </c>
      <c r="E31" s="361">
        <v>0</v>
      </c>
      <c r="F31" s="416">
        <v>0</v>
      </c>
      <c r="G31" s="76">
        <v>0</v>
      </c>
      <c r="H31" s="84">
        <v>0</v>
      </c>
      <c r="I31" s="872">
        <v>10033</v>
      </c>
      <c r="J31" s="963">
        <v>0</v>
      </c>
      <c r="K31" s="964">
        <v>0</v>
      </c>
      <c r="L31" s="1011">
        <f t="shared" si="15"/>
        <v>10033</v>
      </c>
      <c r="M31" s="78" t="s">
        <v>60</v>
      </c>
      <c r="N31" s="79" t="s">
        <v>60</v>
      </c>
    </row>
    <row r="32" spans="1:243" s="88" customFormat="1" ht="15" customHeight="1" x14ac:dyDescent="0.2">
      <c r="A32" s="1300"/>
      <c r="B32" s="1368"/>
      <c r="C32" s="667" t="s">
        <v>205</v>
      </c>
      <c r="D32" s="74">
        <v>1957</v>
      </c>
      <c r="E32" s="361">
        <v>1957</v>
      </c>
      <c r="F32" s="416">
        <v>1977</v>
      </c>
      <c r="G32" s="76">
        <v>1977</v>
      </c>
      <c r="H32" s="84">
        <v>1482.75</v>
      </c>
      <c r="I32" s="872">
        <v>0</v>
      </c>
      <c r="J32" s="963">
        <v>0</v>
      </c>
      <c r="K32" s="964">
        <v>0</v>
      </c>
      <c r="L32" s="1011">
        <f t="shared" si="15"/>
        <v>0</v>
      </c>
      <c r="M32" s="78">
        <f t="shared" si="21"/>
        <v>0</v>
      </c>
      <c r="N32" s="79">
        <f t="shared" si="22"/>
        <v>0</v>
      </c>
    </row>
    <row r="33" spans="1:21" s="88" customFormat="1" ht="15" customHeight="1" x14ac:dyDescent="0.2">
      <c r="A33" s="1300"/>
      <c r="B33" s="1368"/>
      <c r="C33" s="667" t="s">
        <v>206</v>
      </c>
      <c r="D33" s="74">
        <v>3102</v>
      </c>
      <c r="E33" s="361">
        <v>3102</v>
      </c>
      <c r="F33" s="416">
        <v>3133</v>
      </c>
      <c r="G33" s="76">
        <v>3133</v>
      </c>
      <c r="H33" s="84">
        <v>2349.75</v>
      </c>
      <c r="I33" s="872">
        <v>0</v>
      </c>
      <c r="J33" s="963">
        <v>0</v>
      </c>
      <c r="K33" s="964">
        <v>0</v>
      </c>
      <c r="L33" s="1011">
        <f t="shared" si="15"/>
        <v>0</v>
      </c>
      <c r="M33" s="78">
        <f t="shared" si="21"/>
        <v>0</v>
      </c>
      <c r="N33" s="79">
        <f t="shared" si="22"/>
        <v>0</v>
      </c>
    </row>
    <row r="34" spans="1:21" s="88" customFormat="1" ht="15" customHeight="1" x14ac:dyDescent="0.2">
      <c r="A34" s="1300"/>
      <c r="B34" s="1368"/>
      <c r="C34" s="667" t="s">
        <v>207</v>
      </c>
      <c r="D34" s="80">
        <v>2435</v>
      </c>
      <c r="E34" s="361">
        <v>2435</v>
      </c>
      <c r="F34" s="416">
        <v>2459</v>
      </c>
      <c r="G34" s="81">
        <v>2459</v>
      </c>
      <c r="H34" s="82">
        <v>1844.25</v>
      </c>
      <c r="I34" s="83">
        <v>0</v>
      </c>
      <c r="J34" s="1014">
        <v>0</v>
      </c>
      <c r="K34" s="1015">
        <v>0</v>
      </c>
      <c r="L34" s="1011">
        <f t="shared" si="15"/>
        <v>0</v>
      </c>
      <c r="M34" s="78">
        <f t="shared" si="21"/>
        <v>0</v>
      </c>
      <c r="N34" s="79">
        <f t="shared" si="22"/>
        <v>0</v>
      </c>
    </row>
    <row r="35" spans="1:21" s="88" customFormat="1" ht="15" customHeight="1" x14ac:dyDescent="0.2">
      <c r="A35" s="1321"/>
      <c r="B35" s="1369"/>
      <c r="C35" s="667" t="s">
        <v>208</v>
      </c>
      <c r="D35" s="80">
        <v>2440</v>
      </c>
      <c r="E35" s="361">
        <v>2440</v>
      </c>
      <c r="F35" s="416">
        <v>2464</v>
      </c>
      <c r="G35" s="81">
        <v>2464</v>
      </c>
      <c r="H35" s="82">
        <v>1848</v>
      </c>
      <c r="I35" s="83">
        <v>0</v>
      </c>
      <c r="J35" s="1014">
        <v>0</v>
      </c>
      <c r="K35" s="1015">
        <v>0</v>
      </c>
      <c r="L35" s="1011">
        <f t="shared" si="15"/>
        <v>0</v>
      </c>
      <c r="M35" s="78">
        <f t="shared" si="21"/>
        <v>0</v>
      </c>
      <c r="N35" s="79">
        <f t="shared" si="22"/>
        <v>0</v>
      </c>
    </row>
    <row r="36" spans="1:21" ht="20.100000000000001" customHeight="1" x14ac:dyDescent="0.2">
      <c r="A36" s="1360" t="s">
        <v>420</v>
      </c>
      <c r="B36" s="1361"/>
      <c r="C36" s="1330"/>
      <c r="D36" s="454">
        <f t="shared" ref="D36:K36" si="23">SUM(D37:D39)</f>
        <v>7500</v>
      </c>
      <c r="E36" s="507">
        <f t="shared" si="23"/>
        <v>9868.14</v>
      </c>
      <c r="F36" s="456">
        <f t="shared" si="23"/>
        <v>8865</v>
      </c>
      <c r="G36" s="457">
        <f t="shared" si="23"/>
        <v>10468.988000000001</v>
      </c>
      <c r="H36" s="458">
        <f t="shared" si="23"/>
        <v>6796.54</v>
      </c>
      <c r="I36" s="512">
        <f t="shared" si="23"/>
        <v>0</v>
      </c>
      <c r="J36" s="834">
        <f t="shared" si="23"/>
        <v>4500</v>
      </c>
      <c r="K36" s="1062">
        <f t="shared" si="23"/>
        <v>3007</v>
      </c>
      <c r="L36" s="962">
        <f t="shared" si="15"/>
        <v>7507</v>
      </c>
      <c r="M36" s="459">
        <f t="shared" si="21"/>
        <v>84.681331077270158</v>
      </c>
      <c r="N36" s="460">
        <f t="shared" si="22"/>
        <v>71.70702650533174</v>
      </c>
      <c r="O36" s="85"/>
      <c r="P36" s="85"/>
      <c r="Q36" s="86"/>
      <c r="R36" s="86"/>
      <c r="S36" s="86"/>
      <c r="T36" s="86"/>
      <c r="U36" s="86"/>
    </row>
    <row r="37" spans="1:21" ht="20.100000000000001" customHeight="1" x14ac:dyDescent="0.2">
      <c r="A37" s="577">
        <v>3314</v>
      </c>
      <c r="B37" s="1346" t="s">
        <v>333</v>
      </c>
      <c r="C37" s="1347"/>
      <c r="D37" s="415">
        <v>0</v>
      </c>
      <c r="E37" s="120">
        <v>263.60000000000002</v>
      </c>
      <c r="F37" s="415">
        <v>0</v>
      </c>
      <c r="G37" s="118">
        <v>707.46</v>
      </c>
      <c r="H37" s="119">
        <v>586.46</v>
      </c>
      <c r="I37" s="968">
        <v>0</v>
      </c>
      <c r="J37" s="1076">
        <v>0</v>
      </c>
      <c r="K37" s="1077">
        <v>0</v>
      </c>
      <c r="L37" s="1046">
        <f t="shared" si="15"/>
        <v>0</v>
      </c>
      <c r="M37" s="605" t="s">
        <v>60</v>
      </c>
      <c r="N37" s="606">
        <f t="shared" si="22"/>
        <v>0</v>
      </c>
      <c r="O37" s="85"/>
      <c r="P37" s="85"/>
      <c r="Q37" s="86"/>
      <c r="R37" s="86"/>
      <c r="S37" s="86"/>
      <c r="T37" s="86"/>
      <c r="U37" s="86"/>
    </row>
    <row r="38" spans="1:21" ht="20.100000000000001" customHeight="1" x14ac:dyDescent="0.2">
      <c r="A38" s="577">
        <v>3315</v>
      </c>
      <c r="B38" s="1346" t="s">
        <v>192</v>
      </c>
      <c r="C38" s="1347"/>
      <c r="D38" s="415">
        <v>7500</v>
      </c>
      <c r="E38" s="120">
        <v>9284.06</v>
      </c>
      <c r="F38" s="415">
        <v>8865</v>
      </c>
      <c r="G38" s="118">
        <v>9551.5280000000002</v>
      </c>
      <c r="H38" s="119">
        <v>6210.08</v>
      </c>
      <c r="I38" s="968">
        <v>0</v>
      </c>
      <c r="J38" s="1076">
        <v>4500</v>
      </c>
      <c r="K38" s="1077">
        <v>3007</v>
      </c>
      <c r="L38" s="1046">
        <f t="shared" ref="L38:L45" si="24">SUM(I38:K38)</f>
        <v>7507</v>
      </c>
      <c r="M38" s="605">
        <f t="shared" ref="M38:M50" si="25">L38/F38*100</f>
        <v>84.681331077270158</v>
      </c>
      <c r="N38" s="606">
        <f t="shared" ref="N38:N61" si="26">L38/G38*100</f>
        <v>78.594754682182781</v>
      </c>
      <c r="O38" s="85"/>
      <c r="P38" s="85"/>
      <c r="Q38" s="86"/>
      <c r="R38" s="86"/>
      <c r="S38" s="86"/>
      <c r="T38" s="86"/>
      <c r="U38" s="86"/>
    </row>
    <row r="39" spans="1:21" ht="20.100000000000001" customHeight="1" x14ac:dyDescent="0.2">
      <c r="A39" s="577">
        <v>3321</v>
      </c>
      <c r="B39" s="1346" t="s">
        <v>421</v>
      </c>
      <c r="C39" s="1347"/>
      <c r="D39" s="415">
        <v>0</v>
      </c>
      <c r="E39" s="120">
        <v>320.48</v>
      </c>
      <c r="F39" s="415">
        <v>0</v>
      </c>
      <c r="G39" s="118">
        <v>210</v>
      </c>
      <c r="H39" s="119">
        <v>0</v>
      </c>
      <c r="I39" s="968">
        <v>0</v>
      </c>
      <c r="J39" s="1076">
        <v>0</v>
      </c>
      <c r="K39" s="1077">
        <v>0</v>
      </c>
      <c r="L39" s="1046">
        <f t="shared" si="24"/>
        <v>0</v>
      </c>
      <c r="M39" s="605" t="s">
        <v>60</v>
      </c>
      <c r="N39" s="606">
        <f t="shared" ref="N39" si="27">L39/G39*100</f>
        <v>0</v>
      </c>
      <c r="O39" s="85"/>
      <c r="P39" s="85"/>
      <c r="Q39" s="86"/>
      <c r="R39" s="86"/>
      <c r="S39" s="86"/>
      <c r="T39" s="86"/>
      <c r="U39" s="86"/>
    </row>
    <row r="40" spans="1:21" s="88" customFormat="1" ht="33.75" customHeight="1" x14ac:dyDescent="0.2">
      <c r="A40" s="984">
        <v>3314</v>
      </c>
      <c r="B40" s="1365" t="s">
        <v>542</v>
      </c>
      <c r="C40" s="1366"/>
      <c r="D40" s="454">
        <v>0</v>
      </c>
      <c r="E40" s="507">
        <v>0</v>
      </c>
      <c r="F40" s="456">
        <v>250</v>
      </c>
      <c r="G40" s="457">
        <v>250</v>
      </c>
      <c r="H40" s="458">
        <v>0</v>
      </c>
      <c r="I40" s="512">
        <v>0</v>
      </c>
      <c r="J40" s="834">
        <v>250</v>
      </c>
      <c r="K40" s="1062">
        <v>0</v>
      </c>
      <c r="L40" s="1020">
        <f>SUM(I40:K40)</f>
        <v>250</v>
      </c>
      <c r="M40" s="459">
        <f>L40/F40*100</f>
        <v>100</v>
      </c>
      <c r="N40" s="460">
        <f>L40/G40*100</f>
        <v>100</v>
      </c>
    </row>
    <row r="41" spans="1:21" s="470" customFormat="1" ht="33" customHeight="1" x14ac:dyDescent="0.2">
      <c r="A41" s="489">
        <v>3315</v>
      </c>
      <c r="B41" s="1293" t="s">
        <v>273</v>
      </c>
      <c r="C41" s="1294"/>
      <c r="D41" s="454">
        <v>600</v>
      </c>
      <c r="E41" s="507">
        <v>0</v>
      </c>
      <c r="F41" s="456">
        <v>600</v>
      </c>
      <c r="G41" s="457">
        <v>598</v>
      </c>
      <c r="H41" s="458">
        <v>0</v>
      </c>
      <c r="I41" s="512">
        <v>0</v>
      </c>
      <c r="J41" s="834">
        <v>0</v>
      </c>
      <c r="K41" s="1062">
        <v>600</v>
      </c>
      <c r="L41" s="962">
        <f t="shared" si="24"/>
        <v>600</v>
      </c>
      <c r="M41" s="459">
        <f t="shared" si="25"/>
        <v>100</v>
      </c>
      <c r="N41" s="460">
        <f t="shared" si="26"/>
        <v>100.33444816053512</v>
      </c>
    </row>
    <row r="42" spans="1:21" s="470" customFormat="1" ht="20.100000000000001" customHeight="1" x14ac:dyDescent="0.2">
      <c r="A42" s="489">
        <v>3315</v>
      </c>
      <c r="B42" s="1293" t="s">
        <v>339</v>
      </c>
      <c r="C42" s="1294"/>
      <c r="D42" s="454">
        <v>0</v>
      </c>
      <c r="E42" s="507">
        <v>0</v>
      </c>
      <c r="F42" s="456">
        <v>0</v>
      </c>
      <c r="G42" s="457">
        <v>2</v>
      </c>
      <c r="H42" s="458">
        <v>2</v>
      </c>
      <c r="I42" s="512">
        <v>0</v>
      </c>
      <c r="J42" s="834">
        <v>0</v>
      </c>
      <c r="K42" s="1062">
        <v>0</v>
      </c>
      <c r="L42" s="962">
        <f t="shared" si="24"/>
        <v>0</v>
      </c>
      <c r="M42" s="459" t="s">
        <v>60</v>
      </c>
      <c r="N42" s="460">
        <f t="shared" si="26"/>
        <v>0</v>
      </c>
    </row>
    <row r="43" spans="1:21" s="470" customFormat="1" ht="20.100000000000001" customHeight="1" x14ac:dyDescent="0.2">
      <c r="A43" s="489">
        <v>3315</v>
      </c>
      <c r="B43" s="1293" t="s">
        <v>388</v>
      </c>
      <c r="C43" s="1294"/>
      <c r="D43" s="454">
        <v>655</v>
      </c>
      <c r="E43" s="507">
        <v>0</v>
      </c>
      <c r="F43" s="456">
        <v>655</v>
      </c>
      <c r="G43" s="457">
        <v>61.67</v>
      </c>
      <c r="H43" s="458">
        <v>0</v>
      </c>
      <c r="I43" s="512">
        <v>0</v>
      </c>
      <c r="J43" s="834">
        <v>0</v>
      </c>
      <c r="K43" s="1062">
        <v>655</v>
      </c>
      <c r="L43" s="962">
        <f t="shared" si="24"/>
        <v>655</v>
      </c>
      <c r="M43" s="459">
        <f t="shared" si="25"/>
        <v>100</v>
      </c>
      <c r="N43" s="612">
        <f t="shared" si="26"/>
        <v>1062.1047510945355</v>
      </c>
    </row>
    <row r="44" spans="1:21" s="470" customFormat="1" ht="20.100000000000001" customHeight="1" x14ac:dyDescent="0.2">
      <c r="A44" s="489">
        <v>3315</v>
      </c>
      <c r="B44" s="1293" t="s">
        <v>494</v>
      </c>
      <c r="C44" s="1294"/>
      <c r="D44" s="454">
        <v>0</v>
      </c>
      <c r="E44" s="507">
        <v>0</v>
      </c>
      <c r="F44" s="456">
        <v>400</v>
      </c>
      <c r="G44" s="457">
        <v>400</v>
      </c>
      <c r="H44" s="458">
        <v>0</v>
      </c>
      <c r="I44" s="512">
        <v>0</v>
      </c>
      <c r="J44" s="834">
        <v>200</v>
      </c>
      <c r="K44" s="1062">
        <v>200</v>
      </c>
      <c r="L44" s="962">
        <f t="shared" si="24"/>
        <v>400</v>
      </c>
      <c r="M44" s="459">
        <f t="shared" ref="M44" si="28">L44/F44*100</f>
        <v>100</v>
      </c>
      <c r="N44" s="460">
        <f t="shared" ref="N44" si="29">L44/G44*100</f>
        <v>100</v>
      </c>
    </row>
    <row r="45" spans="1:21" s="524" customFormat="1" ht="30" customHeight="1" x14ac:dyDescent="0.2">
      <c r="A45" s="1299">
        <v>3315</v>
      </c>
      <c r="B45" s="1293" t="s">
        <v>201</v>
      </c>
      <c r="C45" s="1294"/>
      <c r="D45" s="454">
        <f>SUM(D46:D49)</f>
        <v>368308</v>
      </c>
      <c r="E45" s="507">
        <f t="shared" ref="E45:K45" si="30">SUM(E46:E49)</f>
        <v>370781.67</v>
      </c>
      <c r="F45" s="456">
        <f t="shared" si="30"/>
        <v>373804</v>
      </c>
      <c r="G45" s="457">
        <f t="shared" si="30"/>
        <v>388376.27</v>
      </c>
      <c r="H45" s="458">
        <f t="shared" si="30"/>
        <v>289592.51</v>
      </c>
      <c r="I45" s="512">
        <f t="shared" si="30"/>
        <v>361019</v>
      </c>
      <c r="J45" s="834">
        <f t="shared" si="30"/>
        <v>39591</v>
      </c>
      <c r="K45" s="1062">
        <f t="shared" si="30"/>
        <v>13969</v>
      </c>
      <c r="L45" s="962">
        <f t="shared" si="24"/>
        <v>414579</v>
      </c>
      <c r="M45" s="459">
        <f t="shared" si="25"/>
        <v>110.90812297353693</v>
      </c>
      <c r="N45" s="460">
        <f t="shared" si="26"/>
        <v>106.74673815678798</v>
      </c>
    </row>
    <row r="46" spans="1:21" s="88" customFormat="1" ht="15" customHeight="1" x14ac:dyDescent="0.2">
      <c r="A46" s="1300"/>
      <c r="B46" s="1318" t="s">
        <v>96</v>
      </c>
      <c r="C46" s="360" t="s">
        <v>138</v>
      </c>
      <c r="D46" s="83">
        <v>10251</v>
      </c>
      <c r="E46" s="361">
        <v>10251</v>
      </c>
      <c r="F46" s="416">
        <v>10251</v>
      </c>
      <c r="G46" s="76">
        <v>10251</v>
      </c>
      <c r="H46" s="84">
        <v>7688.19</v>
      </c>
      <c r="I46" s="872">
        <v>0</v>
      </c>
      <c r="J46" s="963">
        <v>11653</v>
      </c>
      <c r="K46" s="964">
        <v>0</v>
      </c>
      <c r="L46" s="1011">
        <f>SUM(I46:K46)</f>
        <v>11653</v>
      </c>
      <c r="M46" s="132">
        <f>L46/F46*100</f>
        <v>113.67671446688128</v>
      </c>
      <c r="N46" s="73">
        <f>L46/G46*100</f>
        <v>113.67671446688128</v>
      </c>
    </row>
    <row r="47" spans="1:21" s="88" customFormat="1" ht="15" customHeight="1" x14ac:dyDescent="0.2">
      <c r="A47" s="1300"/>
      <c r="B47" s="1319"/>
      <c r="C47" s="638" t="s">
        <v>137</v>
      </c>
      <c r="D47" s="83">
        <v>52092</v>
      </c>
      <c r="E47" s="361">
        <v>53925.67</v>
      </c>
      <c r="F47" s="416">
        <v>53843</v>
      </c>
      <c r="G47" s="76">
        <v>64174.1</v>
      </c>
      <c r="H47" s="84">
        <v>46881.46</v>
      </c>
      <c r="I47" s="872">
        <v>64046</v>
      </c>
      <c r="J47" s="963">
        <v>0</v>
      </c>
      <c r="K47" s="964">
        <v>0</v>
      </c>
      <c r="L47" s="1011">
        <f t="shared" ref="L47" si="31">SUM(I47:K47)</f>
        <v>64046</v>
      </c>
      <c r="M47" s="78">
        <f>L47/F47*100</f>
        <v>118.9495384729677</v>
      </c>
      <c r="N47" s="79">
        <f>L47/G47*100</f>
        <v>99.800386760390879</v>
      </c>
    </row>
    <row r="48" spans="1:21" s="88" customFormat="1" ht="15" customHeight="1" x14ac:dyDescent="0.2">
      <c r="A48" s="1300"/>
      <c r="B48" s="1319"/>
      <c r="C48" s="638" t="s">
        <v>414</v>
      </c>
      <c r="D48" s="83">
        <v>33365</v>
      </c>
      <c r="E48" s="82">
        <v>33365</v>
      </c>
      <c r="F48" s="83">
        <v>34128</v>
      </c>
      <c r="G48" s="414">
        <v>34236.32</v>
      </c>
      <c r="H48" s="95">
        <v>25704.28</v>
      </c>
      <c r="I48" s="872">
        <v>34059</v>
      </c>
      <c r="J48" s="963">
        <v>0</v>
      </c>
      <c r="K48" s="964">
        <v>0</v>
      </c>
      <c r="L48" s="1011">
        <f t="shared" ref="L48" si="32">SUM(I48:K48)</f>
        <v>34059</v>
      </c>
      <c r="M48" s="132">
        <f>L48/F48*100</f>
        <v>99.797819971870609</v>
      </c>
      <c r="N48" s="73">
        <f>L48/G48*100</f>
        <v>99.48207050290452</v>
      </c>
    </row>
    <row r="49" spans="1:14" s="88" customFormat="1" ht="15" customHeight="1" x14ac:dyDescent="0.2">
      <c r="A49" s="1300"/>
      <c r="B49" s="1319"/>
      <c r="C49" s="638" t="s">
        <v>376</v>
      </c>
      <c r="D49" s="83">
        <v>272600</v>
      </c>
      <c r="E49" s="361">
        <v>273240</v>
      </c>
      <c r="F49" s="416">
        <v>275582</v>
      </c>
      <c r="G49" s="76">
        <v>279714.84999999998</v>
      </c>
      <c r="H49" s="84">
        <v>209318.58</v>
      </c>
      <c r="I49" s="872">
        <v>262914</v>
      </c>
      <c r="J49" s="963">
        <v>27938</v>
      </c>
      <c r="K49" s="964">
        <v>13969</v>
      </c>
      <c r="L49" s="1011">
        <f t="shared" ref="L49:L53" si="33">SUM(I49:K49)</f>
        <v>304821</v>
      </c>
      <c r="M49" s="78">
        <f>L49/F49*100</f>
        <v>110.60990921032578</v>
      </c>
      <c r="N49" s="79">
        <f>L49/G49*100</f>
        <v>108.97562285305911</v>
      </c>
    </row>
    <row r="50" spans="1:14" s="470" customFormat="1" ht="20.100000000000001" customHeight="1" x14ac:dyDescent="0.2">
      <c r="A50" s="1348" t="s">
        <v>180</v>
      </c>
      <c r="B50" s="1349"/>
      <c r="C50" s="1294"/>
      <c r="D50" s="477">
        <f t="shared" ref="D50:K50" si="34">SUM(D51:D52)</f>
        <v>2000</v>
      </c>
      <c r="E50" s="507">
        <f t="shared" si="34"/>
        <v>1494.38</v>
      </c>
      <c r="F50" s="508">
        <f t="shared" si="34"/>
        <v>2000</v>
      </c>
      <c r="G50" s="479">
        <f t="shared" si="34"/>
        <v>3165.87</v>
      </c>
      <c r="H50" s="486">
        <f t="shared" si="34"/>
        <v>3015.22</v>
      </c>
      <c r="I50" s="512">
        <f t="shared" si="34"/>
        <v>0</v>
      </c>
      <c r="J50" s="834">
        <f t="shared" si="34"/>
        <v>2000</v>
      </c>
      <c r="K50" s="1031">
        <f t="shared" si="34"/>
        <v>0</v>
      </c>
      <c r="L50" s="962">
        <f t="shared" si="33"/>
        <v>2000</v>
      </c>
      <c r="M50" s="459">
        <f t="shared" si="25"/>
        <v>100</v>
      </c>
      <c r="N50" s="460">
        <f t="shared" si="26"/>
        <v>63.173787931911299</v>
      </c>
    </row>
    <row r="51" spans="1:14" s="102" customFormat="1" ht="20.100000000000001" customHeight="1" x14ac:dyDescent="0.2">
      <c r="A51" s="577">
        <v>3314</v>
      </c>
      <c r="B51" s="1346" t="s">
        <v>333</v>
      </c>
      <c r="C51" s="1347"/>
      <c r="D51" s="805">
        <v>0</v>
      </c>
      <c r="E51" s="806">
        <v>605</v>
      </c>
      <c r="F51" s="415">
        <v>0</v>
      </c>
      <c r="G51" s="767">
        <v>0</v>
      </c>
      <c r="H51" s="807">
        <v>0</v>
      </c>
      <c r="I51" s="969">
        <v>0</v>
      </c>
      <c r="J51" s="1078">
        <v>0</v>
      </c>
      <c r="K51" s="1079">
        <v>0</v>
      </c>
      <c r="L51" s="1046">
        <f t="shared" si="33"/>
        <v>0</v>
      </c>
      <c r="M51" s="746" t="s">
        <v>60</v>
      </c>
      <c r="N51" s="808" t="s">
        <v>60</v>
      </c>
    </row>
    <row r="52" spans="1:14" s="102" customFormat="1" ht="20.100000000000001" customHeight="1" x14ac:dyDescent="0.2">
      <c r="A52" s="577">
        <v>3315</v>
      </c>
      <c r="B52" s="1346" t="s">
        <v>339</v>
      </c>
      <c r="C52" s="1347"/>
      <c r="D52" s="805">
        <v>2000</v>
      </c>
      <c r="E52" s="806">
        <v>889.38</v>
      </c>
      <c r="F52" s="415">
        <v>2000</v>
      </c>
      <c r="G52" s="767">
        <f>3072.87+93</f>
        <v>3165.87</v>
      </c>
      <c r="H52" s="807">
        <v>3015.22</v>
      </c>
      <c r="I52" s="969">
        <v>0</v>
      </c>
      <c r="J52" s="1078">
        <v>2000</v>
      </c>
      <c r="K52" s="1079">
        <v>0</v>
      </c>
      <c r="L52" s="1046">
        <f t="shared" si="33"/>
        <v>2000</v>
      </c>
      <c r="M52" s="746">
        <f t="shared" ref="M52:M57" si="35">L52/F52*100</f>
        <v>100</v>
      </c>
      <c r="N52" s="808">
        <f t="shared" si="26"/>
        <v>63.173787931911299</v>
      </c>
    </row>
    <row r="53" spans="1:14" s="88" customFormat="1" ht="15" customHeight="1" x14ac:dyDescent="0.2">
      <c r="A53" s="804"/>
      <c r="B53" s="362" t="s">
        <v>96</v>
      </c>
      <c r="C53" s="568" t="s">
        <v>138</v>
      </c>
      <c r="D53" s="74">
        <v>2000</v>
      </c>
      <c r="E53" s="361">
        <v>1494.38</v>
      </c>
      <c r="F53" s="993">
        <v>2000</v>
      </c>
      <c r="G53" s="994">
        <f>+G50</f>
        <v>3165.87</v>
      </c>
      <c r="H53" s="995">
        <f>+H50</f>
        <v>3015.22</v>
      </c>
      <c r="I53" s="1080">
        <f>+I50</f>
        <v>0</v>
      </c>
      <c r="J53" s="1081">
        <f>+J50</f>
        <v>2000</v>
      </c>
      <c r="K53" s="1082">
        <f>+K50</f>
        <v>0</v>
      </c>
      <c r="L53" s="1011">
        <f t="shared" si="33"/>
        <v>2000</v>
      </c>
      <c r="M53" s="78">
        <f t="shared" si="35"/>
        <v>100</v>
      </c>
      <c r="N53" s="79">
        <f t="shared" si="26"/>
        <v>63.173787931911299</v>
      </c>
    </row>
    <row r="54" spans="1:14" s="90" customFormat="1" ht="20.100000000000001" customHeight="1" x14ac:dyDescent="0.2">
      <c r="A54" s="1360" t="s">
        <v>312</v>
      </c>
      <c r="B54" s="1361"/>
      <c r="C54" s="1361"/>
      <c r="D54" s="477">
        <f>SUM(D55:D56)</f>
        <v>600</v>
      </c>
      <c r="E54" s="507">
        <f t="shared" ref="E54:K54" si="36">SUM(E55:E56)</f>
        <v>513.72</v>
      </c>
      <c r="F54" s="508">
        <f t="shared" si="36"/>
        <v>600</v>
      </c>
      <c r="G54" s="479">
        <f t="shared" si="36"/>
        <v>522.77800000000002</v>
      </c>
      <c r="H54" s="486">
        <f t="shared" si="36"/>
        <v>199</v>
      </c>
      <c r="I54" s="512">
        <f t="shared" si="36"/>
        <v>300</v>
      </c>
      <c r="J54" s="834">
        <f t="shared" si="36"/>
        <v>300</v>
      </c>
      <c r="K54" s="1031">
        <f t="shared" si="36"/>
        <v>0</v>
      </c>
      <c r="L54" s="962">
        <f t="shared" ref="L54" si="37">SUM(I54:K54)</f>
        <v>600</v>
      </c>
      <c r="M54" s="459">
        <f t="shared" si="35"/>
        <v>100</v>
      </c>
      <c r="N54" s="460">
        <f t="shared" ref="N54" si="38">L54/G54*100</f>
        <v>114.77147087291355</v>
      </c>
    </row>
    <row r="55" spans="1:14" s="102" customFormat="1" ht="20.100000000000001" customHeight="1" x14ac:dyDescent="0.2">
      <c r="A55" s="577">
        <v>3315</v>
      </c>
      <c r="B55" s="1346" t="s">
        <v>339</v>
      </c>
      <c r="C55" s="1347"/>
      <c r="D55" s="805">
        <v>200</v>
      </c>
      <c r="E55" s="806">
        <v>513.72</v>
      </c>
      <c r="F55" s="415">
        <v>200</v>
      </c>
      <c r="G55" s="767">
        <v>106.5</v>
      </c>
      <c r="H55" s="807">
        <v>0</v>
      </c>
      <c r="I55" s="969">
        <v>0</v>
      </c>
      <c r="J55" s="1078">
        <v>200</v>
      </c>
      <c r="K55" s="1079">
        <v>0</v>
      </c>
      <c r="L55" s="1046">
        <f>SUM(I55:K55)</f>
        <v>200</v>
      </c>
      <c r="M55" s="746">
        <f t="shared" si="35"/>
        <v>100</v>
      </c>
      <c r="N55" s="808">
        <f>L55/G55*100</f>
        <v>187.79342723004694</v>
      </c>
    </row>
    <row r="56" spans="1:14" s="102" customFormat="1" ht="20.100000000000001" customHeight="1" x14ac:dyDescent="0.2">
      <c r="A56" s="577">
        <v>3321</v>
      </c>
      <c r="B56" s="1346" t="s">
        <v>421</v>
      </c>
      <c r="C56" s="1347"/>
      <c r="D56" s="805">
        <v>400</v>
      </c>
      <c r="E56" s="806">
        <v>0</v>
      </c>
      <c r="F56" s="415">
        <v>400</v>
      </c>
      <c r="G56" s="767">
        <v>416.27800000000002</v>
      </c>
      <c r="H56" s="807">
        <v>199</v>
      </c>
      <c r="I56" s="969">
        <v>300</v>
      </c>
      <c r="J56" s="1078">
        <v>100</v>
      </c>
      <c r="K56" s="1079">
        <v>0</v>
      </c>
      <c r="L56" s="1046">
        <f>SUM(I56:K56)</f>
        <v>400</v>
      </c>
      <c r="M56" s="746">
        <f t="shared" si="35"/>
        <v>100</v>
      </c>
      <c r="N56" s="808">
        <f>L56/G56*100</f>
        <v>96.089632409111218</v>
      </c>
    </row>
    <row r="57" spans="1:14" s="524" customFormat="1" ht="30" customHeight="1" x14ac:dyDescent="0.2">
      <c r="A57" s="489">
        <v>3319</v>
      </c>
      <c r="B57" s="1293" t="s">
        <v>495</v>
      </c>
      <c r="C57" s="1294"/>
      <c r="D57" s="477">
        <v>0</v>
      </c>
      <c r="E57" s="507">
        <v>93</v>
      </c>
      <c r="F57" s="456">
        <v>200</v>
      </c>
      <c r="G57" s="479">
        <v>268</v>
      </c>
      <c r="H57" s="486">
        <v>68</v>
      </c>
      <c r="I57" s="1022">
        <v>0</v>
      </c>
      <c r="J57" s="1023">
        <v>0</v>
      </c>
      <c r="K57" s="1024">
        <v>200</v>
      </c>
      <c r="L57" s="962">
        <f t="shared" ref="L57:L59" si="39">SUM(I57:K57)</f>
        <v>200</v>
      </c>
      <c r="M57" s="459">
        <f t="shared" si="35"/>
        <v>100</v>
      </c>
      <c r="N57" s="460">
        <f t="shared" ref="N57:N58" si="40">L57/G57*100</f>
        <v>74.626865671641795</v>
      </c>
    </row>
    <row r="58" spans="1:14" s="524" customFormat="1" ht="20.100000000000001" customHeight="1" x14ac:dyDescent="0.2">
      <c r="A58" s="489">
        <v>3319</v>
      </c>
      <c r="B58" s="1293" t="s">
        <v>338</v>
      </c>
      <c r="C58" s="1294"/>
      <c r="D58" s="477">
        <v>0</v>
      </c>
      <c r="E58" s="507">
        <v>1257.07</v>
      </c>
      <c r="F58" s="456">
        <v>0</v>
      </c>
      <c r="G58" s="479">
        <v>738.70500000000004</v>
      </c>
      <c r="H58" s="486">
        <v>738.70500000000004</v>
      </c>
      <c r="I58" s="1022">
        <v>0</v>
      </c>
      <c r="J58" s="1023">
        <v>0</v>
      </c>
      <c r="K58" s="1024">
        <v>0</v>
      </c>
      <c r="L58" s="962">
        <f t="shared" si="39"/>
        <v>0</v>
      </c>
      <c r="M58" s="459" t="s">
        <v>60</v>
      </c>
      <c r="N58" s="460">
        <f t="shared" si="40"/>
        <v>0</v>
      </c>
    </row>
    <row r="59" spans="1:14" s="524" customFormat="1" ht="20.100000000000001" customHeight="1" x14ac:dyDescent="0.2">
      <c r="A59" s="489">
        <v>3319</v>
      </c>
      <c r="B59" s="1293" t="s">
        <v>212</v>
      </c>
      <c r="C59" s="1294"/>
      <c r="D59" s="477">
        <v>1000</v>
      </c>
      <c r="E59" s="507">
        <f>389.87</f>
        <v>389.87</v>
      </c>
      <c r="F59" s="456">
        <v>1000</v>
      </c>
      <c r="G59" s="479">
        <v>1000</v>
      </c>
      <c r="H59" s="486">
        <v>277.29300000000001</v>
      </c>
      <c r="I59" s="1022">
        <v>0</v>
      </c>
      <c r="J59" s="1023">
        <v>800</v>
      </c>
      <c r="K59" s="1024">
        <v>500</v>
      </c>
      <c r="L59" s="962">
        <f t="shared" si="39"/>
        <v>1300</v>
      </c>
      <c r="M59" s="459">
        <f>L59/F59*100</f>
        <v>130</v>
      </c>
      <c r="N59" s="460">
        <f t="shared" si="26"/>
        <v>130</v>
      </c>
    </row>
    <row r="60" spans="1:14" s="524" customFormat="1" ht="23.25" customHeight="1" x14ac:dyDescent="0.2">
      <c r="A60" s="1348" t="s">
        <v>209</v>
      </c>
      <c r="B60" s="1349"/>
      <c r="C60" s="1294"/>
      <c r="D60" s="477">
        <f t="shared" ref="D60:K60" si="41">+D66+D64+D61</f>
        <v>4275</v>
      </c>
      <c r="E60" s="507">
        <f t="shared" si="41"/>
        <v>5461.4</v>
      </c>
      <c r="F60" s="456">
        <f t="shared" si="41"/>
        <v>5275</v>
      </c>
      <c r="G60" s="479">
        <f t="shared" si="41"/>
        <v>5148.2</v>
      </c>
      <c r="H60" s="486">
        <f t="shared" si="41"/>
        <v>2091.1999999999998</v>
      </c>
      <c r="I60" s="1022">
        <f t="shared" si="41"/>
        <v>0</v>
      </c>
      <c r="J60" s="1023">
        <f t="shared" si="41"/>
        <v>3300</v>
      </c>
      <c r="K60" s="1024">
        <f t="shared" si="41"/>
        <v>1975</v>
      </c>
      <c r="L60" s="962">
        <f t="shared" ref="L60" si="42">SUM(I60:K60)</f>
        <v>5275</v>
      </c>
      <c r="M60" s="459">
        <f>L60/F60*100</f>
        <v>100</v>
      </c>
      <c r="N60" s="460">
        <f t="shared" si="26"/>
        <v>102.46299677557205</v>
      </c>
    </row>
    <row r="61" spans="1:14" s="524" customFormat="1" ht="20.100000000000001" customHeight="1" x14ac:dyDescent="0.2">
      <c r="A61" s="1374">
        <v>3312</v>
      </c>
      <c r="B61" s="1346" t="s">
        <v>422</v>
      </c>
      <c r="C61" s="1347"/>
      <c r="D61" s="805">
        <v>1575</v>
      </c>
      <c r="E61" s="806">
        <f t="shared" ref="E61:K61" si="43">SUM(E62:E63)</f>
        <v>1775</v>
      </c>
      <c r="F61" s="415">
        <f t="shared" si="43"/>
        <v>1575</v>
      </c>
      <c r="G61" s="767">
        <f t="shared" si="43"/>
        <v>1717</v>
      </c>
      <c r="H61" s="807">
        <f t="shared" si="43"/>
        <v>0</v>
      </c>
      <c r="I61" s="969">
        <f t="shared" si="43"/>
        <v>0</v>
      </c>
      <c r="J61" s="1078">
        <f t="shared" si="43"/>
        <v>600</v>
      </c>
      <c r="K61" s="1079">
        <f t="shared" si="43"/>
        <v>975</v>
      </c>
      <c r="L61" s="1046">
        <f>SUM(I61:K61)</f>
        <v>1575</v>
      </c>
      <c r="M61" s="746">
        <f>L61/F61*100</f>
        <v>100</v>
      </c>
      <c r="N61" s="808">
        <f t="shared" si="26"/>
        <v>91.729761211415266</v>
      </c>
    </row>
    <row r="62" spans="1:14" s="524" customFormat="1" ht="15" customHeight="1" x14ac:dyDescent="0.2">
      <c r="A62" s="1376"/>
      <c r="B62" s="1327" t="s">
        <v>96</v>
      </c>
      <c r="C62" s="668" t="s">
        <v>423</v>
      </c>
      <c r="D62" s="74">
        <v>600</v>
      </c>
      <c r="E62" s="361">
        <v>800</v>
      </c>
      <c r="F62" s="416">
        <v>600</v>
      </c>
      <c r="G62" s="76">
        <v>800</v>
      </c>
      <c r="H62" s="84">
        <v>0</v>
      </c>
      <c r="I62" s="872">
        <v>0</v>
      </c>
      <c r="J62" s="963">
        <v>600</v>
      </c>
      <c r="K62" s="964">
        <v>0</v>
      </c>
      <c r="L62" s="1083">
        <f>SUM(I62:K62)</f>
        <v>600</v>
      </c>
      <c r="M62" s="936">
        <f>L62/F62*100</f>
        <v>100</v>
      </c>
      <c r="N62" s="937">
        <f>L62/G62*100</f>
        <v>75</v>
      </c>
    </row>
    <row r="63" spans="1:14" s="88" customFormat="1" ht="15" customHeight="1" x14ac:dyDescent="0.2">
      <c r="A63" s="1375"/>
      <c r="B63" s="1328"/>
      <c r="C63" s="646" t="s">
        <v>424</v>
      </c>
      <c r="D63" s="74">
        <v>975</v>
      </c>
      <c r="E63" s="361">
        <v>975</v>
      </c>
      <c r="F63" s="416">
        <v>975</v>
      </c>
      <c r="G63" s="76">
        <v>917</v>
      </c>
      <c r="H63" s="84">
        <v>0</v>
      </c>
      <c r="I63" s="872">
        <v>0</v>
      </c>
      <c r="J63" s="963">
        <v>0</v>
      </c>
      <c r="K63" s="964">
        <v>975</v>
      </c>
      <c r="L63" s="1056">
        <f>SUM(I63:K63)</f>
        <v>975</v>
      </c>
      <c r="M63" s="775">
        <f t="shared" ref="M63" si="44">L63/F63*100</f>
        <v>100</v>
      </c>
      <c r="N63" s="809">
        <f>L63/G63*100</f>
        <v>106.32497273718649</v>
      </c>
    </row>
    <row r="64" spans="1:14" s="159" customFormat="1" ht="20.100000000000001" customHeight="1" x14ac:dyDescent="0.2">
      <c r="A64" s="1374">
        <v>3313</v>
      </c>
      <c r="B64" s="1346" t="s">
        <v>387</v>
      </c>
      <c r="C64" s="1347"/>
      <c r="D64" s="805">
        <v>1000</v>
      </c>
      <c r="E64" s="806">
        <f t="shared" ref="E64:K64" si="45">SUM(E65:E65)</f>
        <v>1500</v>
      </c>
      <c r="F64" s="415">
        <f t="shared" si="45"/>
        <v>1000</v>
      </c>
      <c r="G64" s="767">
        <f t="shared" si="45"/>
        <v>1000</v>
      </c>
      <c r="H64" s="807">
        <f t="shared" si="45"/>
        <v>500</v>
      </c>
      <c r="I64" s="969">
        <f t="shared" si="45"/>
        <v>0</v>
      </c>
      <c r="J64" s="1078">
        <f t="shared" si="45"/>
        <v>0</v>
      </c>
      <c r="K64" s="1079">
        <f t="shared" si="45"/>
        <v>1000</v>
      </c>
      <c r="L64" s="1084">
        <f>SUM(I64:K64)</f>
        <v>1000</v>
      </c>
      <c r="M64" s="746">
        <f>L64/F64*100</f>
        <v>100</v>
      </c>
      <c r="N64" s="808">
        <f t="shared" ref="N64:N65" si="46">L64/G64*100</f>
        <v>100</v>
      </c>
    </row>
    <row r="65" spans="1:14" s="159" customFormat="1" ht="15" customHeight="1" x14ac:dyDescent="0.2">
      <c r="A65" s="1375"/>
      <c r="B65" s="898"/>
      <c r="C65" s="935" t="s">
        <v>484</v>
      </c>
      <c r="D65" s="74">
        <v>1000</v>
      </c>
      <c r="E65" s="361">
        <v>1500</v>
      </c>
      <c r="F65" s="416">
        <v>1000</v>
      </c>
      <c r="G65" s="76">
        <v>1000</v>
      </c>
      <c r="H65" s="84">
        <v>500</v>
      </c>
      <c r="I65" s="872">
        <v>0</v>
      </c>
      <c r="J65" s="963">
        <v>0</v>
      </c>
      <c r="K65" s="964">
        <v>1000</v>
      </c>
      <c r="L65" s="1011">
        <f t="shared" ref="L65" si="47">SUM(I65:K65)</f>
        <v>1000</v>
      </c>
      <c r="M65" s="775">
        <f t="shared" ref="M65" si="48">L65/F65*100</f>
        <v>100</v>
      </c>
      <c r="N65" s="809">
        <f t="shared" si="46"/>
        <v>100</v>
      </c>
    </row>
    <row r="66" spans="1:14" s="524" customFormat="1" ht="20.100000000000001" customHeight="1" x14ac:dyDescent="0.2">
      <c r="A66" s="1374">
        <v>3319</v>
      </c>
      <c r="B66" s="1346" t="s">
        <v>343</v>
      </c>
      <c r="C66" s="1347"/>
      <c r="D66" s="805">
        <v>1700</v>
      </c>
      <c r="E66" s="806">
        <f>SUM(E67:E71)</f>
        <v>2186.4</v>
      </c>
      <c r="F66" s="415">
        <f t="shared" ref="F66:K66" si="49">SUM(F67:F71)</f>
        <v>2700</v>
      </c>
      <c r="G66" s="767">
        <f t="shared" si="49"/>
        <v>2431.1999999999998</v>
      </c>
      <c r="H66" s="807">
        <f t="shared" si="49"/>
        <v>1591.2</v>
      </c>
      <c r="I66" s="969">
        <f t="shared" si="49"/>
        <v>0</v>
      </c>
      <c r="J66" s="1078">
        <f t="shared" si="49"/>
        <v>2700</v>
      </c>
      <c r="K66" s="1079">
        <f t="shared" si="49"/>
        <v>0</v>
      </c>
      <c r="L66" s="1046">
        <f t="shared" ref="L66:L71" si="50">SUM(I66:K66)</f>
        <v>2700</v>
      </c>
      <c r="M66" s="746">
        <f>L66/F66*100</f>
        <v>100</v>
      </c>
      <c r="N66" s="808">
        <f t="shared" ref="N66" si="51">L66/G66*100</f>
        <v>111.05626850937809</v>
      </c>
    </row>
    <row r="67" spans="1:14" s="985" customFormat="1" ht="15" customHeight="1" x14ac:dyDescent="0.2">
      <c r="A67" s="1376"/>
      <c r="B67" s="1362" t="s">
        <v>96</v>
      </c>
      <c r="C67" s="360" t="s">
        <v>210</v>
      </c>
      <c r="D67" s="80">
        <v>500</v>
      </c>
      <c r="E67" s="361">
        <v>600</v>
      </c>
      <c r="F67" s="416">
        <v>500</v>
      </c>
      <c r="G67" s="81">
        <v>600</v>
      </c>
      <c r="H67" s="82">
        <v>0</v>
      </c>
      <c r="I67" s="83">
        <v>0</v>
      </c>
      <c r="J67" s="1014">
        <v>500</v>
      </c>
      <c r="K67" s="1015">
        <v>0</v>
      </c>
      <c r="L67" s="1011">
        <f>SUM(I67:K67)</f>
        <v>500</v>
      </c>
      <c r="M67" s="78">
        <f>L67/F67*100</f>
        <v>100</v>
      </c>
      <c r="N67" s="79">
        <f>L67/G67*100</f>
        <v>83.333333333333343</v>
      </c>
    </row>
    <row r="68" spans="1:14" s="666" customFormat="1" ht="15" customHeight="1" x14ac:dyDescent="0.2">
      <c r="A68" s="1376"/>
      <c r="B68" s="1363"/>
      <c r="C68" s="179" t="s">
        <v>211</v>
      </c>
      <c r="D68" s="80">
        <v>300</v>
      </c>
      <c r="E68" s="361">
        <v>0</v>
      </c>
      <c r="F68" s="416">
        <v>300</v>
      </c>
      <c r="G68" s="81">
        <v>40</v>
      </c>
      <c r="H68" s="82">
        <v>0</v>
      </c>
      <c r="I68" s="83">
        <v>0</v>
      </c>
      <c r="J68" s="1014">
        <v>300</v>
      </c>
      <c r="K68" s="1015">
        <v>0</v>
      </c>
      <c r="L68" s="1011">
        <f t="shared" si="50"/>
        <v>300</v>
      </c>
      <c r="M68" s="78">
        <f t="shared" ref="M68:M71" si="52">L68/F68*100</f>
        <v>100</v>
      </c>
      <c r="N68" s="79">
        <f t="shared" ref="N68:N71" si="53">L68/G68*100</f>
        <v>750</v>
      </c>
    </row>
    <row r="69" spans="1:14" s="666" customFormat="1" ht="15" customHeight="1" x14ac:dyDescent="0.2">
      <c r="A69" s="1376"/>
      <c r="B69" s="1363"/>
      <c r="C69" s="1147" t="s">
        <v>389</v>
      </c>
      <c r="D69" s="80">
        <v>700</v>
      </c>
      <c r="E69" s="361">
        <v>700</v>
      </c>
      <c r="F69" s="416">
        <v>700</v>
      </c>
      <c r="G69" s="81">
        <v>700</v>
      </c>
      <c r="H69" s="82">
        <v>700</v>
      </c>
      <c r="I69" s="83">
        <v>0</v>
      </c>
      <c r="J69" s="1014">
        <v>700</v>
      </c>
      <c r="K69" s="1015">
        <v>0</v>
      </c>
      <c r="L69" s="1011">
        <f t="shared" si="50"/>
        <v>700</v>
      </c>
      <c r="M69" s="78">
        <f t="shared" si="52"/>
        <v>100</v>
      </c>
      <c r="N69" s="79">
        <f t="shared" si="53"/>
        <v>100</v>
      </c>
    </row>
    <row r="70" spans="1:14" s="666" customFormat="1" ht="15" customHeight="1" x14ac:dyDescent="0.2">
      <c r="A70" s="1376"/>
      <c r="B70" s="1363"/>
      <c r="C70" s="854" t="s">
        <v>483</v>
      </c>
      <c r="D70" s="74">
        <v>0</v>
      </c>
      <c r="E70" s="361">
        <v>886.4</v>
      </c>
      <c r="F70" s="416">
        <v>1000</v>
      </c>
      <c r="G70" s="76">
        <v>891.2</v>
      </c>
      <c r="H70" s="84">
        <v>891.2</v>
      </c>
      <c r="I70" s="872">
        <v>0</v>
      </c>
      <c r="J70" s="963">
        <v>1000</v>
      </c>
      <c r="K70" s="964">
        <v>0</v>
      </c>
      <c r="L70" s="1011">
        <f t="shared" si="50"/>
        <v>1000</v>
      </c>
      <c r="M70" s="78">
        <f t="shared" si="52"/>
        <v>100</v>
      </c>
      <c r="N70" s="79">
        <f t="shared" si="53"/>
        <v>112.20825852782765</v>
      </c>
    </row>
    <row r="71" spans="1:14" s="666" customFormat="1" ht="15" customHeight="1" x14ac:dyDescent="0.2">
      <c r="A71" s="1375"/>
      <c r="B71" s="1364"/>
      <c r="C71" s="668" t="s">
        <v>262</v>
      </c>
      <c r="D71" s="80">
        <v>200</v>
      </c>
      <c r="E71" s="361">
        <v>0</v>
      </c>
      <c r="F71" s="416">
        <v>200</v>
      </c>
      <c r="G71" s="81">
        <v>200</v>
      </c>
      <c r="H71" s="82">
        <v>0</v>
      </c>
      <c r="I71" s="83">
        <v>0</v>
      </c>
      <c r="J71" s="1014">
        <v>200</v>
      </c>
      <c r="K71" s="1015">
        <v>0</v>
      </c>
      <c r="L71" s="1011">
        <f t="shared" si="50"/>
        <v>200</v>
      </c>
      <c r="M71" s="78">
        <f t="shared" si="52"/>
        <v>100</v>
      </c>
      <c r="N71" s="79">
        <f t="shared" si="53"/>
        <v>100</v>
      </c>
    </row>
    <row r="72" spans="1:14" s="669" customFormat="1" ht="30.75" customHeight="1" x14ac:dyDescent="0.2">
      <c r="A72" s="1299">
        <v>3321</v>
      </c>
      <c r="B72" s="1293" t="s">
        <v>202</v>
      </c>
      <c r="C72" s="1294"/>
      <c r="D72" s="454">
        <f>SUM(D73:D76)</f>
        <v>21338</v>
      </c>
      <c r="E72" s="507">
        <f t="shared" ref="E72:K72" si="54">SUM(E73:E76)</f>
        <v>21413</v>
      </c>
      <c r="F72" s="456">
        <f t="shared" si="54"/>
        <v>21551</v>
      </c>
      <c r="G72" s="457">
        <f t="shared" si="54"/>
        <v>22223.5</v>
      </c>
      <c r="H72" s="490">
        <f t="shared" si="54"/>
        <v>16803.23</v>
      </c>
      <c r="I72" s="512">
        <f t="shared" si="54"/>
        <v>20410</v>
      </c>
      <c r="J72" s="834">
        <f t="shared" si="54"/>
        <v>2089</v>
      </c>
      <c r="K72" s="1028">
        <f t="shared" si="54"/>
        <v>1022</v>
      </c>
      <c r="L72" s="962">
        <f t="shared" ref="L72" si="55">SUM(I72:K72)</f>
        <v>23521</v>
      </c>
      <c r="M72" s="459">
        <f t="shared" ref="M72:M78" si="56">L72/F72*100</f>
        <v>109.14110714119994</v>
      </c>
      <c r="N72" s="460">
        <f t="shared" ref="N72" si="57">L72/G72*100</f>
        <v>105.83841429117827</v>
      </c>
    </row>
    <row r="73" spans="1:14" s="88" customFormat="1" ht="15" customHeight="1" x14ac:dyDescent="0.2">
      <c r="A73" s="1300"/>
      <c r="B73" s="1362" t="s">
        <v>96</v>
      </c>
      <c r="C73" s="769" t="s">
        <v>138</v>
      </c>
      <c r="D73" s="74">
        <v>44</v>
      </c>
      <c r="E73" s="361">
        <v>44</v>
      </c>
      <c r="F73" s="416">
        <v>44</v>
      </c>
      <c r="G73" s="76">
        <v>44</v>
      </c>
      <c r="H73" s="84">
        <v>32.99</v>
      </c>
      <c r="I73" s="872">
        <v>0</v>
      </c>
      <c r="J73" s="963">
        <v>44</v>
      </c>
      <c r="K73" s="964">
        <v>0</v>
      </c>
      <c r="L73" s="1011">
        <f>SUM(I73:K73)</f>
        <v>44</v>
      </c>
      <c r="M73" s="132">
        <f>L73/F73*100</f>
        <v>100</v>
      </c>
      <c r="N73" s="73">
        <f>L73/G73*100</f>
        <v>100</v>
      </c>
    </row>
    <row r="74" spans="1:14" s="88" customFormat="1" ht="15" customHeight="1" x14ac:dyDescent="0.2">
      <c r="A74" s="1300"/>
      <c r="B74" s="1363"/>
      <c r="C74" s="638" t="s">
        <v>137</v>
      </c>
      <c r="D74" s="74">
        <v>0</v>
      </c>
      <c r="E74" s="361">
        <v>75</v>
      </c>
      <c r="F74" s="416">
        <v>213</v>
      </c>
      <c r="G74" s="76">
        <v>213</v>
      </c>
      <c r="H74" s="84">
        <v>159.75</v>
      </c>
      <c r="I74" s="872">
        <v>213</v>
      </c>
      <c r="J74" s="963">
        <v>0</v>
      </c>
      <c r="K74" s="964">
        <v>0</v>
      </c>
      <c r="L74" s="1011">
        <f>SUM(I74:K74)</f>
        <v>213</v>
      </c>
      <c r="M74" s="132">
        <f>L74/F74*100</f>
        <v>100</v>
      </c>
      <c r="N74" s="73">
        <f t="shared" ref="N74" si="58">L74/G74*100</f>
        <v>100</v>
      </c>
    </row>
    <row r="75" spans="1:14" s="88" customFormat="1" ht="15" customHeight="1" x14ac:dyDescent="0.2">
      <c r="A75" s="1300"/>
      <c r="B75" s="1363"/>
      <c r="C75" s="638" t="s">
        <v>414</v>
      </c>
      <c r="D75" s="83">
        <v>1487</v>
      </c>
      <c r="E75" s="82">
        <v>1487</v>
      </c>
      <c r="F75" s="83">
        <v>1487</v>
      </c>
      <c r="G75" s="414">
        <v>1487</v>
      </c>
      <c r="H75" s="95">
        <v>1115.25</v>
      </c>
      <c r="I75" s="872">
        <v>1487</v>
      </c>
      <c r="J75" s="963">
        <v>0</v>
      </c>
      <c r="K75" s="964">
        <v>0</v>
      </c>
      <c r="L75" s="1011">
        <f t="shared" ref="L75" si="59">SUM(I75:K75)</f>
        <v>1487</v>
      </c>
      <c r="M75" s="132">
        <f>L75/F75*100</f>
        <v>100</v>
      </c>
      <c r="N75" s="73">
        <f>L75/G75*100</f>
        <v>100</v>
      </c>
    </row>
    <row r="76" spans="1:14" s="88" customFormat="1" ht="15" customHeight="1" x14ac:dyDescent="0.2">
      <c r="A76" s="1321"/>
      <c r="B76" s="1364"/>
      <c r="C76" s="638" t="s">
        <v>376</v>
      </c>
      <c r="D76" s="80">
        <v>19807</v>
      </c>
      <c r="E76" s="361">
        <v>19807</v>
      </c>
      <c r="F76" s="416">
        <v>19807</v>
      </c>
      <c r="G76" s="81">
        <v>20479.5</v>
      </c>
      <c r="H76" s="82">
        <v>15495.24</v>
      </c>
      <c r="I76" s="83">
        <v>18710</v>
      </c>
      <c r="J76" s="1014">
        <v>2045</v>
      </c>
      <c r="K76" s="1015">
        <v>1022</v>
      </c>
      <c r="L76" s="1011">
        <f>SUM(I76:K76)</f>
        <v>21777</v>
      </c>
      <c r="M76" s="132">
        <f>L76/F76*100</f>
        <v>109.94597869440096</v>
      </c>
      <c r="N76" s="73">
        <f>L76/G76*100</f>
        <v>106.3356038965795</v>
      </c>
    </row>
    <row r="77" spans="1:14" s="470" customFormat="1" ht="20.100000000000001" customHeight="1" thickBot="1" x14ac:dyDescent="0.25">
      <c r="A77" s="489">
        <v>3321</v>
      </c>
      <c r="B77" s="665" t="s">
        <v>203</v>
      </c>
      <c r="C77" s="774"/>
      <c r="D77" s="454">
        <v>5000</v>
      </c>
      <c r="E77" s="507">
        <v>5000</v>
      </c>
      <c r="F77" s="456">
        <v>5000</v>
      </c>
      <c r="G77" s="457">
        <v>5000</v>
      </c>
      <c r="H77" s="458">
        <v>0</v>
      </c>
      <c r="I77" s="512">
        <v>0</v>
      </c>
      <c r="J77" s="834">
        <v>0</v>
      </c>
      <c r="K77" s="1028">
        <v>5000</v>
      </c>
      <c r="L77" s="962">
        <f t="shared" ref="L77" si="60">SUM(I77:K77)</f>
        <v>5000</v>
      </c>
      <c r="M77" s="459">
        <f>L77/F77*100</f>
        <v>100</v>
      </c>
      <c r="N77" s="460">
        <f t="shared" ref="N77:N78" si="61">L77/G77*100</f>
        <v>100</v>
      </c>
    </row>
    <row r="78" spans="1:14" s="90" customFormat="1" ht="20.100000000000001" customHeight="1" thickBot="1" x14ac:dyDescent="0.25">
      <c r="A78" s="181"/>
      <c r="B78" s="182" t="s">
        <v>85</v>
      </c>
      <c r="C78" s="615"/>
      <c r="D78" s="181">
        <f>+SUM(D9:D17)+D23+D24+D29+SUM(D36:D36)+SUM(D41:D45)+D50+SUM(D54:D54)+SUM(D57:D60)+D72+SUM(D77:D77)</f>
        <v>536669</v>
      </c>
      <c r="E78" s="197">
        <f>+SUM(E9:E17)+E23+E24+E29+SUM(E36:E36)+SUM(E40:E45)+E50+E54+SUM(E57:E60)+E72+SUM(E77:E77)</f>
        <v>542615.14999999991</v>
      </c>
      <c r="F78" s="615">
        <f t="shared" ref="F78:L78" si="62">+SUM(F9:F17)+F23+F24+F29+SUM(F36:F36)+SUM(F40:F45)+F50+SUM(F54:F54)+SUM(F57:F60)+F72+SUM(F77:F77)</f>
        <v>548576</v>
      </c>
      <c r="G78" s="197">
        <f t="shared" si="62"/>
        <v>572792.78100000008</v>
      </c>
      <c r="H78" s="616">
        <f t="shared" si="62"/>
        <v>411015.72799999994</v>
      </c>
      <c r="I78" s="615">
        <f t="shared" si="62"/>
        <v>483120</v>
      </c>
      <c r="J78" s="955">
        <f t="shared" si="62"/>
        <v>73116</v>
      </c>
      <c r="K78" s="1075">
        <f t="shared" si="62"/>
        <v>36267</v>
      </c>
      <c r="L78" s="1033">
        <f t="shared" si="62"/>
        <v>592503</v>
      </c>
      <c r="M78" s="613">
        <f t="shared" si="56"/>
        <v>108.00745931283906</v>
      </c>
      <c r="N78" s="614">
        <f t="shared" si="61"/>
        <v>103.44107322120738</v>
      </c>
    </row>
    <row r="79" spans="1:14" ht="15" customHeight="1" x14ac:dyDescent="0.2">
      <c r="A79" s="70"/>
      <c r="B79" s="70"/>
      <c r="C79" s="70"/>
      <c r="D79" s="164"/>
      <c r="E79" s="171"/>
      <c r="F79" s="164"/>
      <c r="G79" s="172"/>
      <c r="H79" s="172"/>
      <c r="I79" s="172"/>
      <c r="J79" s="172"/>
      <c r="K79" s="172"/>
      <c r="L79" s="660"/>
      <c r="M79" s="670"/>
      <c r="N79" s="123"/>
    </row>
    <row r="80" spans="1:14" x14ac:dyDescent="0.2">
      <c r="D80" s="147"/>
      <c r="F80" s="147"/>
      <c r="L80" s="147"/>
    </row>
    <row r="81" spans="4:13" x14ac:dyDescent="0.2">
      <c r="D81" s="147"/>
      <c r="F81" s="147"/>
      <c r="L81" s="147"/>
      <c r="M81" s="1173"/>
    </row>
  </sheetData>
  <mergeCells count="60">
    <mergeCell ref="A64:A65"/>
    <mergeCell ref="B64:C64"/>
    <mergeCell ref="B52:C52"/>
    <mergeCell ref="A66:A71"/>
    <mergeCell ref="B66:C66"/>
    <mergeCell ref="B62:B63"/>
    <mergeCell ref="B57:C57"/>
    <mergeCell ref="A54:C54"/>
    <mergeCell ref="A61:A63"/>
    <mergeCell ref="B61:C61"/>
    <mergeCell ref="A2:N2"/>
    <mergeCell ref="G4:H4"/>
    <mergeCell ref="N6:N7"/>
    <mergeCell ref="B6:C7"/>
    <mergeCell ref="M6:M7"/>
    <mergeCell ref="A6:A7"/>
    <mergeCell ref="D6:E6"/>
    <mergeCell ref="F6:H6"/>
    <mergeCell ref="I6:L6"/>
    <mergeCell ref="B9:C9"/>
    <mergeCell ref="B11:C11"/>
    <mergeCell ref="B14:C14"/>
    <mergeCell ref="B15:C15"/>
    <mergeCell ref="A17:A22"/>
    <mergeCell ref="B23:C23"/>
    <mergeCell ref="B10:C10"/>
    <mergeCell ref="B12:C12"/>
    <mergeCell ref="B13:C13"/>
    <mergeCell ref="B16:C16"/>
    <mergeCell ref="B17:C17"/>
    <mergeCell ref="B18:B22"/>
    <mergeCell ref="A24:A28"/>
    <mergeCell ref="B24:C24"/>
    <mergeCell ref="B38:C38"/>
    <mergeCell ref="A45:A49"/>
    <mergeCell ref="B37:C37"/>
    <mergeCell ref="B41:C41"/>
    <mergeCell ref="A29:A35"/>
    <mergeCell ref="B30:B35"/>
    <mergeCell ref="B43:C43"/>
    <mergeCell ref="B42:C42"/>
    <mergeCell ref="B29:C29"/>
    <mergeCell ref="B40:C40"/>
    <mergeCell ref="B25:B28"/>
    <mergeCell ref="B72:C72"/>
    <mergeCell ref="B51:C51"/>
    <mergeCell ref="A36:C36"/>
    <mergeCell ref="A60:C60"/>
    <mergeCell ref="B39:C39"/>
    <mergeCell ref="B46:B49"/>
    <mergeCell ref="A72:A76"/>
    <mergeCell ref="B73:B76"/>
    <mergeCell ref="B55:C55"/>
    <mergeCell ref="B56:C56"/>
    <mergeCell ref="B45:C45"/>
    <mergeCell ref="B44:C44"/>
    <mergeCell ref="B67:B71"/>
    <mergeCell ref="B59:C59"/>
    <mergeCell ref="B58:C58"/>
    <mergeCell ref="A50:C50"/>
  </mergeCells>
  <printOptions horizontalCentered="1"/>
  <pageMargins left="0.59055118110236227" right="0.59055118110236227" top="0.78740157480314965" bottom="0.78740157480314965" header="0.59055118110236227" footer="0.59055118110236227"/>
  <pageSetup paperSize="9" scale="65" fitToHeight="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P26"/>
  <sheetViews>
    <sheetView workbookViewId="0"/>
  </sheetViews>
  <sheetFormatPr defaultRowHeight="12.75" x14ac:dyDescent="0.2"/>
  <cols>
    <col min="1" max="1" width="7.7109375" style="67" customWidth="1"/>
    <col min="2" max="2" width="6.7109375" style="67" customWidth="1"/>
    <col min="3" max="3" width="40.7109375" style="72" customWidth="1"/>
    <col min="4" max="4" width="14.140625" style="147" customWidth="1"/>
    <col min="5" max="5" width="13.85546875" style="72" customWidth="1"/>
    <col min="6" max="6" width="14.7109375" style="147" customWidth="1"/>
    <col min="7" max="7" width="16.5703125" style="147" customWidth="1"/>
    <col min="8" max="8" width="14.7109375" style="72" customWidth="1"/>
    <col min="9" max="9" width="14.7109375" style="147" customWidth="1"/>
    <col min="10" max="10" width="15.5703125" style="147" customWidth="1"/>
    <col min="11" max="11" width="14.7109375" style="658" customWidth="1"/>
    <col min="12" max="12" width="14.7109375" style="823" customWidth="1"/>
    <col min="13" max="13" width="9.7109375" style="148" customWidth="1"/>
    <col min="14" max="14" width="9.7109375" style="67" customWidth="1"/>
    <col min="15" max="15" width="10" style="67" customWidth="1"/>
    <col min="16" max="16" width="9.85546875" style="67" bestFit="1" customWidth="1"/>
    <col min="17" max="256" width="9.140625" style="67"/>
    <col min="257" max="257" width="6.7109375" style="67" customWidth="1"/>
    <col min="258" max="258" width="41.5703125" style="67" customWidth="1"/>
    <col min="259" max="259" width="14.7109375" style="67" customWidth="1"/>
    <col min="260" max="260" width="18.85546875" style="67" customWidth="1"/>
    <col min="261" max="266" width="14.7109375" style="67" customWidth="1"/>
    <col min="267" max="267" width="16.7109375" style="67" customWidth="1"/>
    <col min="268" max="268" width="10" style="67" customWidth="1"/>
    <col min="269" max="269" width="7.42578125" style="67" customWidth="1"/>
    <col min="270" max="512" width="9.140625" style="67"/>
    <col min="513" max="513" width="6.7109375" style="67" customWidth="1"/>
    <col min="514" max="514" width="41.5703125" style="67" customWidth="1"/>
    <col min="515" max="515" width="14.7109375" style="67" customWidth="1"/>
    <col min="516" max="516" width="18.85546875" style="67" customWidth="1"/>
    <col min="517" max="522" width="14.7109375" style="67" customWidth="1"/>
    <col min="523" max="523" width="16.7109375" style="67" customWidth="1"/>
    <col min="524" max="524" width="10" style="67" customWidth="1"/>
    <col min="525" max="525" width="7.42578125" style="67" customWidth="1"/>
    <col min="526" max="768" width="9.140625" style="67"/>
    <col min="769" max="769" width="6.7109375" style="67" customWidth="1"/>
    <col min="770" max="770" width="41.5703125" style="67" customWidth="1"/>
    <col min="771" max="771" width="14.7109375" style="67" customWidth="1"/>
    <col min="772" max="772" width="18.85546875" style="67" customWidth="1"/>
    <col min="773" max="778" width="14.7109375" style="67" customWidth="1"/>
    <col min="779" max="779" width="16.7109375" style="67" customWidth="1"/>
    <col min="780" max="780" width="10" style="67" customWidth="1"/>
    <col min="781" max="781" width="7.42578125" style="67" customWidth="1"/>
    <col min="782" max="1024" width="9.140625" style="67"/>
    <col min="1025" max="1025" width="6.7109375" style="67" customWidth="1"/>
    <col min="1026" max="1026" width="41.5703125" style="67" customWidth="1"/>
    <col min="1027" max="1027" width="14.7109375" style="67" customWidth="1"/>
    <col min="1028" max="1028" width="18.85546875" style="67" customWidth="1"/>
    <col min="1029" max="1034" width="14.7109375" style="67" customWidth="1"/>
    <col min="1035" max="1035" width="16.7109375" style="67" customWidth="1"/>
    <col min="1036" max="1036" width="10" style="67" customWidth="1"/>
    <col min="1037" max="1037" width="7.42578125" style="67" customWidth="1"/>
    <col min="1038" max="1280" width="9.140625" style="67"/>
    <col min="1281" max="1281" width="6.7109375" style="67" customWidth="1"/>
    <col min="1282" max="1282" width="41.5703125" style="67" customWidth="1"/>
    <col min="1283" max="1283" width="14.7109375" style="67" customWidth="1"/>
    <col min="1284" max="1284" width="18.85546875" style="67" customWidth="1"/>
    <col min="1285" max="1290" width="14.7109375" style="67" customWidth="1"/>
    <col min="1291" max="1291" width="16.7109375" style="67" customWidth="1"/>
    <col min="1292" max="1292" width="10" style="67" customWidth="1"/>
    <col min="1293" max="1293" width="7.42578125" style="67" customWidth="1"/>
    <col min="1294" max="1536" width="9.140625" style="67"/>
    <col min="1537" max="1537" width="6.7109375" style="67" customWidth="1"/>
    <col min="1538" max="1538" width="41.5703125" style="67" customWidth="1"/>
    <col min="1539" max="1539" width="14.7109375" style="67" customWidth="1"/>
    <col min="1540" max="1540" width="18.85546875" style="67" customWidth="1"/>
    <col min="1541" max="1546" width="14.7109375" style="67" customWidth="1"/>
    <col min="1547" max="1547" width="16.7109375" style="67" customWidth="1"/>
    <col min="1548" max="1548" width="10" style="67" customWidth="1"/>
    <col min="1549" max="1549" width="7.42578125" style="67" customWidth="1"/>
    <col min="1550" max="1792" width="9.140625" style="67"/>
    <col min="1793" max="1793" width="6.7109375" style="67" customWidth="1"/>
    <col min="1794" max="1794" width="41.5703125" style="67" customWidth="1"/>
    <col min="1795" max="1795" width="14.7109375" style="67" customWidth="1"/>
    <col min="1796" max="1796" width="18.85546875" style="67" customWidth="1"/>
    <col min="1797" max="1802" width="14.7109375" style="67" customWidth="1"/>
    <col min="1803" max="1803" width="16.7109375" style="67" customWidth="1"/>
    <col min="1804" max="1804" width="10" style="67" customWidth="1"/>
    <col min="1805" max="1805" width="7.42578125" style="67" customWidth="1"/>
    <col min="1806" max="2048" width="9.140625" style="67"/>
    <col min="2049" max="2049" width="6.7109375" style="67" customWidth="1"/>
    <col min="2050" max="2050" width="41.5703125" style="67" customWidth="1"/>
    <col min="2051" max="2051" width="14.7109375" style="67" customWidth="1"/>
    <col min="2052" max="2052" width="18.85546875" style="67" customWidth="1"/>
    <col min="2053" max="2058" width="14.7109375" style="67" customWidth="1"/>
    <col min="2059" max="2059" width="16.7109375" style="67" customWidth="1"/>
    <col min="2060" max="2060" width="10" style="67" customWidth="1"/>
    <col min="2061" max="2061" width="7.42578125" style="67" customWidth="1"/>
    <col min="2062" max="2304" width="9.140625" style="67"/>
    <col min="2305" max="2305" width="6.7109375" style="67" customWidth="1"/>
    <col min="2306" max="2306" width="41.5703125" style="67" customWidth="1"/>
    <col min="2307" max="2307" width="14.7109375" style="67" customWidth="1"/>
    <col min="2308" max="2308" width="18.85546875" style="67" customWidth="1"/>
    <col min="2309" max="2314" width="14.7109375" style="67" customWidth="1"/>
    <col min="2315" max="2315" width="16.7109375" style="67" customWidth="1"/>
    <col min="2316" max="2316" width="10" style="67" customWidth="1"/>
    <col min="2317" max="2317" width="7.42578125" style="67" customWidth="1"/>
    <col min="2318" max="2560" width="9.140625" style="67"/>
    <col min="2561" max="2561" width="6.7109375" style="67" customWidth="1"/>
    <col min="2562" max="2562" width="41.5703125" style="67" customWidth="1"/>
    <col min="2563" max="2563" width="14.7109375" style="67" customWidth="1"/>
    <col min="2564" max="2564" width="18.85546875" style="67" customWidth="1"/>
    <col min="2565" max="2570" width="14.7109375" style="67" customWidth="1"/>
    <col min="2571" max="2571" width="16.7109375" style="67" customWidth="1"/>
    <col min="2572" max="2572" width="10" style="67" customWidth="1"/>
    <col min="2573" max="2573" width="7.42578125" style="67" customWidth="1"/>
    <col min="2574" max="2816" width="9.140625" style="67"/>
    <col min="2817" max="2817" width="6.7109375" style="67" customWidth="1"/>
    <col min="2818" max="2818" width="41.5703125" style="67" customWidth="1"/>
    <col min="2819" max="2819" width="14.7109375" style="67" customWidth="1"/>
    <col min="2820" max="2820" width="18.85546875" style="67" customWidth="1"/>
    <col min="2821" max="2826" width="14.7109375" style="67" customWidth="1"/>
    <col min="2827" max="2827" width="16.7109375" style="67" customWidth="1"/>
    <col min="2828" max="2828" width="10" style="67" customWidth="1"/>
    <col min="2829" max="2829" width="7.42578125" style="67" customWidth="1"/>
    <col min="2830" max="3072" width="9.140625" style="67"/>
    <col min="3073" max="3073" width="6.7109375" style="67" customWidth="1"/>
    <col min="3074" max="3074" width="41.5703125" style="67" customWidth="1"/>
    <col min="3075" max="3075" width="14.7109375" style="67" customWidth="1"/>
    <col min="3076" max="3076" width="18.85546875" style="67" customWidth="1"/>
    <col min="3077" max="3082" width="14.7109375" style="67" customWidth="1"/>
    <col min="3083" max="3083" width="16.7109375" style="67" customWidth="1"/>
    <col min="3084" max="3084" width="10" style="67" customWidth="1"/>
    <col min="3085" max="3085" width="7.42578125" style="67" customWidth="1"/>
    <col min="3086" max="3328" width="9.140625" style="67"/>
    <col min="3329" max="3329" width="6.7109375" style="67" customWidth="1"/>
    <col min="3330" max="3330" width="41.5703125" style="67" customWidth="1"/>
    <col min="3331" max="3331" width="14.7109375" style="67" customWidth="1"/>
    <col min="3332" max="3332" width="18.85546875" style="67" customWidth="1"/>
    <col min="3333" max="3338" width="14.7109375" style="67" customWidth="1"/>
    <col min="3339" max="3339" width="16.7109375" style="67" customWidth="1"/>
    <col min="3340" max="3340" width="10" style="67" customWidth="1"/>
    <col min="3341" max="3341" width="7.42578125" style="67" customWidth="1"/>
    <col min="3342" max="3584" width="9.140625" style="67"/>
    <col min="3585" max="3585" width="6.7109375" style="67" customWidth="1"/>
    <col min="3586" max="3586" width="41.5703125" style="67" customWidth="1"/>
    <col min="3587" max="3587" width="14.7109375" style="67" customWidth="1"/>
    <col min="3588" max="3588" width="18.85546875" style="67" customWidth="1"/>
    <col min="3589" max="3594" width="14.7109375" style="67" customWidth="1"/>
    <col min="3595" max="3595" width="16.7109375" style="67" customWidth="1"/>
    <col min="3596" max="3596" width="10" style="67" customWidth="1"/>
    <col min="3597" max="3597" width="7.42578125" style="67" customWidth="1"/>
    <col min="3598" max="3840" width="9.140625" style="67"/>
    <col min="3841" max="3841" width="6.7109375" style="67" customWidth="1"/>
    <col min="3842" max="3842" width="41.5703125" style="67" customWidth="1"/>
    <col min="3843" max="3843" width="14.7109375" style="67" customWidth="1"/>
    <col min="3844" max="3844" width="18.85546875" style="67" customWidth="1"/>
    <col min="3845" max="3850" width="14.7109375" style="67" customWidth="1"/>
    <col min="3851" max="3851" width="16.7109375" style="67" customWidth="1"/>
    <col min="3852" max="3852" width="10" style="67" customWidth="1"/>
    <col min="3853" max="3853" width="7.42578125" style="67" customWidth="1"/>
    <col min="3854" max="4096" width="9.140625" style="67"/>
    <col min="4097" max="4097" width="6.7109375" style="67" customWidth="1"/>
    <col min="4098" max="4098" width="41.5703125" style="67" customWidth="1"/>
    <col min="4099" max="4099" width="14.7109375" style="67" customWidth="1"/>
    <col min="4100" max="4100" width="18.85546875" style="67" customWidth="1"/>
    <col min="4101" max="4106" width="14.7109375" style="67" customWidth="1"/>
    <col min="4107" max="4107" width="16.7109375" style="67" customWidth="1"/>
    <col min="4108" max="4108" width="10" style="67" customWidth="1"/>
    <col min="4109" max="4109" width="7.42578125" style="67" customWidth="1"/>
    <col min="4110" max="4352" width="9.140625" style="67"/>
    <col min="4353" max="4353" width="6.7109375" style="67" customWidth="1"/>
    <col min="4354" max="4354" width="41.5703125" style="67" customWidth="1"/>
    <col min="4355" max="4355" width="14.7109375" style="67" customWidth="1"/>
    <col min="4356" max="4356" width="18.85546875" style="67" customWidth="1"/>
    <col min="4357" max="4362" width="14.7109375" style="67" customWidth="1"/>
    <col min="4363" max="4363" width="16.7109375" style="67" customWidth="1"/>
    <col min="4364" max="4364" width="10" style="67" customWidth="1"/>
    <col min="4365" max="4365" width="7.42578125" style="67" customWidth="1"/>
    <col min="4366" max="4608" width="9.140625" style="67"/>
    <col min="4609" max="4609" width="6.7109375" style="67" customWidth="1"/>
    <col min="4610" max="4610" width="41.5703125" style="67" customWidth="1"/>
    <col min="4611" max="4611" width="14.7109375" style="67" customWidth="1"/>
    <col min="4612" max="4612" width="18.85546875" style="67" customWidth="1"/>
    <col min="4613" max="4618" width="14.7109375" style="67" customWidth="1"/>
    <col min="4619" max="4619" width="16.7109375" style="67" customWidth="1"/>
    <col min="4620" max="4620" width="10" style="67" customWidth="1"/>
    <col min="4621" max="4621" width="7.42578125" style="67" customWidth="1"/>
    <col min="4622" max="4864" width="9.140625" style="67"/>
    <col min="4865" max="4865" width="6.7109375" style="67" customWidth="1"/>
    <col min="4866" max="4866" width="41.5703125" style="67" customWidth="1"/>
    <col min="4867" max="4867" width="14.7109375" style="67" customWidth="1"/>
    <col min="4868" max="4868" width="18.85546875" style="67" customWidth="1"/>
    <col min="4869" max="4874" width="14.7109375" style="67" customWidth="1"/>
    <col min="4875" max="4875" width="16.7109375" style="67" customWidth="1"/>
    <col min="4876" max="4876" width="10" style="67" customWidth="1"/>
    <col min="4877" max="4877" width="7.42578125" style="67" customWidth="1"/>
    <col min="4878" max="5120" width="9.140625" style="67"/>
    <col min="5121" max="5121" width="6.7109375" style="67" customWidth="1"/>
    <col min="5122" max="5122" width="41.5703125" style="67" customWidth="1"/>
    <col min="5123" max="5123" width="14.7109375" style="67" customWidth="1"/>
    <col min="5124" max="5124" width="18.85546875" style="67" customWidth="1"/>
    <col min="5125" max="5130" width="14.7109375" style="67" customWidth="1"/>
    <col min="5131" max="5131" width="16.7109375" style="67" customWidth="1"/>
    <col min="5132" max="5132" width="10" style="67" customWidth="1"/>
    <col min="5133" max="5133" width="7.42578125" style="67" customWidth="1"/>
    <col min="5134" max="5376" width="9.140625" style="67"/>
    <col min="5377" max="5377" width="6.7109375" style="67" customWidth="1"/>
    <col min="5378" max="5378" width="41.5703125" style="67" customWidth="1"/>
    <col min="5379" max="5379" width="14.7109375" style="67" customWidth="1"/>
    <col min="5380" max="5380" width="18.85546875" style="67" customWidth="1"/>
    <col min="5381" max="5386" width="14.7109375" style="67" customWidth="1"/>
    <col min="5387" max="5387" width="16.7109375" style="67" customWidth="1"/>
    <col min="5388" max="5388" width="10" style="67" customWidth="1"/>
    <col min="5389" max="5389" width="7.42578125" style="67" customWidth="1"/>
    <col min="5390" max="5632" width="9.140625" style="67"/>
    <col min="5633" max="5633" width="6.7109375" style="67" customWidth="1"/>
    <col min="5634" max="5634" width="41.5703125" style="67" customWidth="1"/>
    <col min="5635" max="5635" width="14.7109375" style="67" customWidth="1"/>
    <col min="5636" max="5636" width="18.85546875" style="67" customWidth="1"/>
    <col min="5637" max="5642" width="14.7109375" style="67" customWidth="1"/>
    <col min="5643" max="5643" width="16.7109375" style="67" customWidth="1"/>
    <col min="5644" max="5644" width="10" style="67" customWidth="1"/>
    <col min="5645" max="5645" width="7.42578125" style="67" customWidth="1"/>
    <col min="5646" max="5888" width="9.140625" style="67"/>
    <col min="5889" max="5889" width="6.7109375" style="67" customWidth="1"/>
    <col min="5890" max="5890" width="41.5703125" style="67" customWidth="1"/>
    <col min="5891" max="5891" width="14.7109375" style="67" customWidth="1"/>
    <col min="5892" max="5892" width="18.85546875" style="67" customWidth="1"/>
    <col min="5893" max="5898" width="14.7109375" style="67" customWidth="1"/>
    <col min="5899" max="5899" width="16.7109375" style="67" customWidth="1"/>
    <col min="5900" max="5900" width="10" style="67" customWidth="1"/>
    <col min="5901" max="5901" width="7.42578125" style="67" customWidth="1"/>
    <col min="5902" max="6144" width="9.140625" style="67"/>
    <col min="6145" max="6145" width="6.7109375" style="67" customWidth="1"/>
    <col min="6146" max="6146" width="41.5703125" style="67" customWidth="1"/>
    <col min="6147" max="6147" width="14.7109375" style="67" customWidth="1"/>
    <col min="6148" max="6148" width="18.85546875" style="67" customWidth="1"/>
    <col min="6149" max="6154" width="14.7109375" style="67" customWidth="1"/>
    <col min="6155" max="6155" width="16.7109375" style="67" customWidth="1"/>
    <col min="6156" max="6156" width="10" style="67" customWidth="1"/>
    <col min="6157" max="6157" width="7.42578125" style="67" customWidth="1"/>
    <col min="6158" max="6400" width="9.140625" style="67"/>
    <col min="6401" max="6401" width="6.7109375" style="67" customWidth="1"/>
    <col min="6402" max="6402" width="41.5703125" style="67" customWidth="1"/>
    <col min="6403" max="6403" width="14.7109375" style="67" customWidth="1"/>
    <col min="6404" max="6404" width="18.85546875" style="67" customWidth="1"/>
    <col min="6405" max="6410" width="14.7109375" style="67" customWidth="1"/>
    <col min="6411" max="6411" width="16.7109375" style="67" customWidth="1"/>
    <col min="6412" max="6412" width="10" style="67" customWidth="1"/>
    <col min="6413" max="6413" width="7.42578125" style="67" customWidth="1"/>
    <col min="6414" max="6656" width="9.140625" style="67"/>
    <col min="6657" max="6657" width="6.7109375" style="67" customWidth="1"/>
    <col min="6658" max="6658" width="41.5703125" style="67" customWidth="1"/>
    <col min="6659" max="6659" width="14.7109375" style="67" customWidth="1"/>
    <col min="6660" max="6660" width="18.85546875" style="67" customWidth="1"/>
    <col min="6661" max="6666" width="14.7109375" style="67" customWidth="1"/>
    <col min="6667" max="6667" width="16.7109375" style="67" customWidth="1"/>
    <col min="6668" max="6668" width="10" style="67" customWidth="1"/>
    <col min="6669" max="6669" width="7.42578125" style="67" customWidth="1"/>
    <col min="6670" max="6912" width="9.140625" style="67"/>
    <col min="6913" max="6913" width="6.7109375" style="67" customWidth="1"/>
    <col min="6914" max="6914" width="41.5703125" style="67" customWidth="1"/>
    <col min="6915" max="6915" width="14.7109375" style="67" customWidth="1"/>
    <col min="6916" max="6916" width="18.85546875" style="67" customWidth="1"/>
    <col min="6917" max="6922" width="14.7109375" style="67" customWidth="1"/>
    <col min="6923" max="6923" width="16.7109375" style="67" customWidth="1"/>
    <col min="6924" max="6924" width="10" style="67" customWidth="1"/>
    <col min="6925" max="6925" width="7.42578125" style="67" customWidth="1"/>
    <col min="6926" max="7168" width="9.140625" style="67"/>
    <col min="7169" max="7169" width="6.7109375" style="67" customWidth="1"/>
    <col min="7170" max="7170" width="41.5703125" style="67" customWidth="1"/>
    <col min="7171" max="7171" width="14.7109375" style="67" customWidth="1"/>
    <col min="7172" max="7172" width="18.85546875" style="67" customWidth="1"/>
    <col min="7173" max="7178" width="14.7109375" style="67" customWidth="1"/>
    <col min="7179" max="7179" width="16.7109375" style="67" customWidth="1"/>
    <col min="7180" max="7180" width="10" style="67" customWidth="1"/>
    <col min="7181" max="7181" width="7.42578125" style="67" customWidth="1"/>
    <col min="7182" max="7424" width="9.140625" style="67"/>
    <col min="7425" max="7425" width="6.7109375" style="67" customWidth="1"/>
    <col min="7426" max="7426" width="41.5703125" style="67" customWidth="1"/>
    <col min="7427" max="7427" width="14.7109375" style="67" customWidth="1"/>
    <col min="7428" max="7428" width="18.85546875" style="67" customWidth="1"/>
    <col min="7429" max="7434" width="14.7109375" style="67" customWidth="1"/>
    <col min="7435" max="7435" width="16.7109375" style="67" customWidth="1"/>
    <col min="7436" max="7436" width="10" style="67" customWidth="1"/>
    <col min="7437" max="7437" width="7.42578125" style="67" customWidth="1"/>
    <col min="7438" max="7680" width="9.140625" style="67"/>
    <col min="7681" max="7681" width="6.7109375" style="67" customWidth="1"/>
    <col min="7682" max="7682" width="41.5703125" style="67" customWidth="1"/>
    <col min="7683" max="7683" width="14.7109375" style="67" customWidth="1"/>
    <col min="7684" max="7684" width="18.85546875" style="67" customWidth="1"/>
    <col min="7685" max="7690" width="14.7109375" style="67" customWidth="1"/>
    <col min="7691" max="7691" width="16.7109375" style="67" customWidth="1"/>
    <col min="7692" max="7692" width="10" style="67" customWidth="1"/>
    <col min="7693" max="7693" width="7.42578125" style="67" customWidth="1"/>
    <col min="7694" max="7936" width="9.140625" style="67"/>
    <col min="7937" max="7937" width="6.7109375" style="67" customWidth="1"/>
    <col min="7938" max="7938" width="41.5703125" style="67" customWidth="1"/>
    <col min="7939" max="7939" width="14.7109375" style="67" customWidth="1"/>
    <col min="7940" max="7940" width="18.85546875" style="67" customWidth="1"/>
    <col min="7941" max="7946" width="14.7109375" style="67" customWidth="1"/>
    <col min="7947" max="7947" width="16.7109375" style="67" customWidth="1"/>
    <col min="7948" max="7948" width="10" style="67" customWidth="1"/>
    <col min="7949" max="7949" width="7.42578125" style="67" customWidth="1"/>
    <col min="7950" max="8192" width="9.140625" style="67"/>
    <col min="8193" max="8193" width="6.7109375" style="67" customWidth="1"/>
    <col min="8194" max="8194" width="41.5703125" style="67" customWidth="1"/>
    <col min="8195" max="8195" width="14.7109375" style="67" customWidth="1"/>
    <col min="8196" max="8196" width="18.85546875" style="67" customWidth="1"/>
    <col min="8197" max="8202" width="14.7109375" style="67" customWidth="1"/>
    <col min="8203" max="8203" width="16.7109375" style="67" customWidth="1"/>
    <col min="8204" max="8204" width="10" style="67" customWidth="1"/>
    <col min="8205" max="8205" width="7.42578125" style="67" customWidth="1"/>
    <col min="8206" max="8448" width="9.140625" style="67"/>
    <col min="8449" max="8449" width="6.7109375" style="67" customWidth="1"/>
    <col min="8450" max="8450" width="41.5703125" style="67" customWidth="1"/>
    <col min="8451" max="8451" width="14.7109375" style="67" customWidth="1"/>
    <col min="8452" max="8452" width="18.85546875" style="67" customWidth="1"/>
    <col min="8453" max="8458" width="14.7109375" style="67" customWidth="1"/>
    <col min="8459" max="8459" width="16.7109375" style="67" customWidth="1"/>
    <col min="8460" max="8460" width="10" style="67" customWidth="1"/>
    <col min="8461" max="8461" width="7.42578125" style="67" customWidth="1"/>
    <col min="8462" max="8704" width="9.140625" style="67"/>
    <col min="8705" max="8705" width="6.7109375" style="67" customWidth="1"/>
    <col min="8706" max="8706" width="41.5703125" style="67" customWidth="1"/>
    <col min="8707" max="8707" width="14.7109375" style="67" customWidth="1"/>
    <col min="8708" max="8708" width="18.85546875" style="67" customWidth="1"/>
    <col min="8709" max="8714" width="14.7109375" style="67" customWidth="1"/>
    <col min="8715" max="8715" width="16.7109375" style="67" customWidth="1"/>
    <col min="8716" max="8716" width="10" style="67" customWidth="1"/>
    <col min="8717" max="8717" width="7.42578125" style="67" customWidth="1"/>
    <col min="8718" max="8960" width="9.140625" style="67"/>
    <col min="8961" max="8961" width="6.7109375" style="67" customWidth="1"/>
    <col min="8962" max="8962" width="41.5703125" style="67" customWidth="1"/>
    <col min="8963" max="8963" width="14.7109375" style="67" customWidth="1"/>
    <col min="8964" max="8964" width="18.85546875" style="67" customWidth="1"/>
    <col min="8965" max="8970" width="14.7109375" style="67" customWidth="1"/>
    <col min="8971" max="8971" width="16.7109375" style="67" customWidth="1"/>
    <col min="8972" max="8972" width="10" style="67" customWidth="1"/>
    <col min="8973" max="8973" width="7.42578125" style="67" customWidth="1"/>
    <col min="8974" max="9216" width="9.140625" style="67"/>
    <col min="9217" max="9217" width="6.7109375" style="67" customWidth="1"/>
    <col min="9218" max="9218" width="41.5703125" style="67" customWidth="1"/>
    <col min="9219" max="9219" width="14.7109375" style="67" customWidth="1"/>
    <col min="9220" max="9220" width="18.85546875" style="67" customWidth="1"/>
    <col min="9221" max="9226" width="14.7109375" style="67" customWidth="1"/>
    <col min="9227" max="9227" width="16.7109375" style="67" customWidth="1"/>
    <col min="9228" max="9228" width="10" style="67" customWidth="1"/>
    <col min="9229" max="9229" width="7.42578125" style="67" customWidth="1"/>
    <col min="9230" max="9472" width="9.140625" style="67"/>
    <col min="9473" max="9473" width="6.7109375" style="67" customWidth="1"/>
    <col min="9474" max="9474" width="41.5703125" style="67" customWidth="1"/>
    <col min="9475" max="9475" width="14.7109375" style="67" customWidth="1"/>
    <col min="9476" max="9476" width="18.85546875" style="67" customWidth="1"/>
    <col min="9477" max="9482" width="14.7109375" style="67" customWidth="1"/>
    <col min="9483" max="9483" width="16.7109375" style="67" customWidth="1"/>
    <col min="9484" max="9484" width="10" style="67" customWidth="1"/>
    <col min="9485" max="9485" width="7.42578125" style="67" customWidth="1"/>
    <col min="9486" max="9728" width="9.140625" style="67"/>
    <col min="9729" max="9729" width="6.7109375" style="67" customWidth="1"/>
    <col min="9730" max="9730" width="41.5703125" style="67" customWidth="1"/>
    <col min="9731" max="9731" width="14.7109375" style="67" customWidth="1"/>
    <col min="9732" max="9732" width="18.85546875" style="67" customWidth="1"/>
    <col min="9733" max="9738" width="14.7109375" style="67" customWidth="1"/>
    <col min="9739" max="9739" width="16.7109375" style="67" customWidth="1"/>
    <col min="9740" max="9740" width="10" style="67" customWidth="1"/>
    <col min="9741" max="9741" width="7.42578125" style="67" customWidth="1"/>
    <col min="9742" max="9984" width="9.140625" style="67"/>
    <col min="9985" max="9985" width="6.7109375" style="67" customWidth="1"/>
    <col min="9986" max="9986" width="41.5703125" style="67" customWidth="1"/>
    <col min="9987" max="9987" width="14.7109375" style="67" customWidth="1"/>
    <col min="9988" max="9988" width="18.85546875" style="67" customWidth="1"/>
    <col min="9989" max="9994" width="14.7109375" style="67" customWidth="1"/>
    <col min="9995" max="9995" width="16.7109375" style="67" customWidth="1"/>
    <col min="9996" max="9996" width="10" style="67" customWidth="1"/>
    <col min="9997" max="9997" width="7.42578125" style="67" customWidth="1"/>
    <col min="9998" max="10240" width="9.140625" style="67"/>
    <col min="10241" max="10241" width="6.7109375" style="67" customWidth="1"/>
    <col min="10242" max="10242" width="41.5703125" style="67" customWidth="1"/>
    <col min="10243" max="10243" width="14.7109375" style="67" customWidth="1"/>
    <col min="10244" max="10244" width="18.85546875" style="67" customWidth="1"/>
    <col min="10245" max="10250" width="14.7109375" style="67" customWidth="1"/>
    <col min="10251" max="10251" width="16.7109375" style="67" customWidth="1"/>
    <col min="10252" max="10252" width="10" style="67" customWidth="1"/>
    <col min="10253" max="10253" width="7.42578125" style="67" customWidth="1"/>
    <col min="10254" max="10496" width="9.140625" style="67"/>
    <col min="10497" max="10497" width="6.7109375" style="67" customWidth="1"/>
    <col min="10498" max="10498" width="41.5703125" style="67" customWidth="1"/>
    <col min="10499" max="10499" width="14.7109375" style="67" customWidth="1"/>
    <col min="10500" max="10500" width="18.85546875" style="67" customWidth="1"/>
    <col min="10501" max="10506" width="14.7109375" style="67" customWidth="1"/>
    <col min="10507" max="10507" width="16.7109375" style="67" customWidth="1"/>
    <col min="10508" max="10508" width="10" style="67" customWidth="1"/>
    <col min="10509" max="10509" width="7.42578125" style="67" customWidth="1"/>
    <col min="10510" max="10752" width="9.140625" style="67"/>
    <col min="10753" max="10753" width="6.7109375" style="67" customWidth="1"/>
    <col min="10754" max="10754" width="41.5703125" style="67" customWidth="1"/>
    <col min="10755" max="10755" width="14.7109375" style="67" customWidth="1"/>
    <col min="10756" max="10756" width="18.85546875" style="67" customWidth="1"/>
    <col min="10757" max="10762" width="14.7109375" style="67" customWidth="1"/>
    <col min="10763" max="10763" width="16.7109375" style="67" customWidth="1"/>
    <col min="10764" max="10764" width="10" style="67" customWidth="1"/>
    <col min="10765" max="10765" width="7.42578125" style="67" customWidth="1"/>
    <col min="10766" max="11008" width="9.140625" style="67"/>
    <col min="11009" max="11009" width="6.7109375" style="67" customWidth="1"/>
    <col min="11010" max="11010" width="41.5703125" style="67" customWidth="1"/>
    <col min="11011" max="11011" width="14.7109375" style="67" customWidth="1"/>
    <col min="11012" max="11012" width="18.85546875" style="67" customWidth="1"/>
    <col min="11013" max="11018" width="14.7109375" style="67" customWidth="1"/>
    <col min="11019" max="11019" width="16.7109375" style="67" customWidth="1"/>
    <col min="11020" max="11020" width="10" style="67" customWidth="1"/>
    <col min="11021" max="11021" width="7.42578125" style="67" customWidth="1"/>
    <col min="11022" max="11264" width="9.140625" style="67"/>
    <col min="11265" max="11265" width="6.7109375" style="67" customWidth="1"/>
    <col min="11266" max="11266" width="41.5703125" style="67" customWidth="1"/>
    <col min="11267" max="11267" width="14.7109375" style="67" customWidth="1"/>
    <col min="11268" max="11268" width="18.85546875" style="67" customWidth="1"/>
    <col min="11269" max="11274" width="14.7109375" style="67" customWidth="1"/>
    <col min="11275" max="11275" width="16.7109375" style="67" customWidth="1"/>
    <col min="11276" max="11276" width="10" style="67" customWidth="1"/>
    <col min="11277" max="11277" width="7.42578125" style="67" customWidth="1"/>
    <col min="11278" max="11520" width="9.140625" style="67"/>
    <col min="11521" max="11521" width="6.7109375" style="67" customWidth="1"/>
    <col min="11522" max="11522" width="41.5703125" style="67" customWidth="1"/>
    <col min="11523" max="11523" width="14.7109375" style="67" customWidth="1"/>
    <col min="11524" max="11524" width="18.85546875" style="67" customWidth="1"/>
    <col min="11525" max="11530" width="14.7109375" style="67" customWidth="1"/>
    <col min="11531" max="11531" width="16.7109375" style="67" customWidth="1"/>
    <col min="11532" max="11532" width="10" style="67" customWidth="1"/>
    <col min="11533" max="11533" width="7.42578125" style="67" customWidth="1"/>
    <col min="11534" max="11776" width="9.140625" style="67"/>
    <col min="11777" max="11777" width="6.7109375" style="67" customWidth="1"/>
    <col min="11778" max="11778" width="41.5703125" style="67" customWidth="1"/>
    <col min="11779" max="11779" width="14.7109375" style="67" customWidth="1"/>
    <col min="11780" max="11780" width="18.85546875" style="67" customWidth="1"/>
    <col min="11781" max="11786" width="14.7109375" style="67" customWidth="1"/>
    <col min="11787" max="11787" width="16.7109375" style="67" customWidth="1"/>
    <col min="11788" max="11788" width="10" style="67" customWidth="1"/>
    <col min="11789" max="11789" width="7.42578125" style="67" customWidth="1"/>
    <col min="11790" max="12032" width="9.140625" style="67"/>
    <col min="12033" max="12033" width="6.7109375" style="67" customWidth="1"/>
    <col min="12034" max="12034" width="41.5703125" style="67" customWidth="1"/>
    <col min="12035" max="12035" width="14.7109375" style="67" customWidth="1"/>
    <col min="12036" max="12036" width="18.85546875" style="67" customWidth="1"/>
    <col min="12037" max="12042" width="14.7109375" style="67" customWidth="1"/>
    <col min="12043" max="12043" width="16.7109375" style="67" customWidth="1"/>
    <col min="12044" max="12044" width="10" style="67" customWidth="1"/>
    <col min="12045" max="12045" width="7.42578125" style="67" customWidth="1"/>
    <col min="12046" max="12288" width="9.140625" style="67"/>
    <col min="12289" max="12289" width="6.7109375" style="67" customWidth="1"/>
    <col min="12290" max="12290" width="41.5703125" style="67" customWidth="1"/>
    <col min="12291" max="12291" width="14.7109375" style="67" customWidth="1"/>
    <col min="12292" max="12292" width="18.85546875" style="67" customWidth="1"/>
    <col min="12293" max="12298" width="14.7109375" style="67" customWidth="1"/>
    <col min="12299" max="12299" width="16.7109375" style="67" customWidth="1"/>
    <col min="12300" max="12300" width="10" style="67" customWidth="1"/>
    <col min="12301" max="12301" width="7.42578125" style="67" customWidth="1"/>
    <col min="12302" max="12544" width="9.140625" style="67"/>
    <col min="12545" max="12545" width="6.7109375" style="67" customWidth="1"/>
    <col min="12546" max="12546" width="41.5703125" style="67" customWidth="1"/>
    <col min="12547" max="12547" width="14.7109375" style="67" customWidth="1"/>
    <col min="12548" max="12548" width="18.85546875" style="67" customWidth="1"/>
    <col min="12549" max="12554" width="14.7109375" style="67" customWidth="1"/>
    <col min="12555" max="12555" width="16.7109375" style="67" customWidth="1"/>
    <col min="12556" max="12556" width="10" style="67" customWidth="1"/>
    <col min="12557" max="12557" width="7.42578125" style="67" customWidth="1"/>
    <col min="12558" max="12800" width="9.140625" style="67"/>
    <col min="12801" max="12801" width="6.7109375" style="67" customWidth="1"/>
    <col min="12802" max="12802" width="41.5703125" style="67" customWidth="1"/>
    <col min="12803" max="12803" width="14.7109375" style="67" customWidth="1"/>
    <col min="12804" max="12804" width="18.85546875" style="67" customWidth="1"/>
    <col min="12805" max="12810" width="14.7109375" style="67" customWidth="1"/>
    <col min="12811" max="12811" width="16.7109375" style="67" customWidth="1"/>
    <col min="12812" max="12812" width="10" style="67" customWidth="1"/>
    <col min="12813" max="12813" width="7.42578125" style="67" customWidth="1"/>
    <col min="12814" max="13056" width="9.140625" style="67"/>
    <col min="13057" max="13057" width="6.7109375" style="67" customWidth="1"/>
    <col min="13058" max="13058" width="41.5703125" style="67" customWidth="1"/>
    <col min="13059" max="13059" width="14.7109375" style="67" customWidth="1"/>
    <col min="13060" max="13060" width="18.85546875" style="67" customWidth="1"/>
    <col min="13061" max="13066" width="14.7109375" style="67" customWidth="1"/>
    <col min="13067" max="13067" width="16.7109375" style="67" customWidth="1"/>
    <col min="13068" max="13068" width="10" style="67" customWidth="1"/>
    <col min="13069" max="13069" width="7.42578125" style="67" customWidth="1"/>
    <col min="13070" max="13312" width="9.140625" style="67"/>
    <col min="13313" max="13313" width="6.7109375" style="67" customWidth="1"/>
    <col min="13314" max="13314" width="41.5703125" style="67" customWidth="1"/>
    <col min="13315" max="13315" width="14.7109375" style="67" customWidth="1"/>
    <col min="13316" max="13316" width="18.85546875" style="67" customWidth="1"/>
    <col min="13317" max="13322" width="14.7109375" style="67" customWidth="1"/>
    <col min="13323" max="13323" width="16.7109375" style="67" customWidth="1"/>
    <col min="13324" max="13324" width="10" style="67" customWidth="1"/>
    <col min="13325" max="13325" width="7.42578125" style="67" customWidth="1"/>
    <col min="13326" max="13568" width="9.140625" style="67"/>
    <col min="13569" max="13569" width="6.7109375" style="67" customWidth="1"/>
    <col min="13570" max="13570" width="41.5703125" style="67" customWidth="1"/>
    <col min="13571" max="13571" width="14.7109375" style="67" customWidth="1"/>
    <col min="13572" max="13572" width="18.85546875" style="67" customWidth="1"/>
    <col min="13573" max="13578" width="14.7109375" style="67" customWidth="1"/>
    <col min="13579" max="13579" width="16.7109375" style="67" customWidth="1"/>
    <col min="13580" max="13580" width="10" style="67" customWidth="1"/>
    <col min="13581" max="13581" width="7.42578125" style="67" customWidth="1"/>
    <col min="13582" max="13824" width="9.140625" style="67"/>
    <col min="13825" max="13825" width="6.7109375" style="67" customWidth="1"/>
    <col min="13826" max="13826" width="41.5703125" style="67" customWidth="1"/>
    <col min="13827" max="13827" width="14.7109375" style="67" customWidth="1"/>
    <col min="13828" max="13828" width="18.85546875" style="67" customWidth="1"/>
    <col min="13829" max="13834" width="14.7109375" style="67" customWidth="1"/>
    <col min="13835" max="13835" width="16.7109375" style="67" customWidth="1"/>
    <col min="13836" max="13836" width="10" style="67" customWidth="1"/>
    <col min="13837" max="13837" width="7.42578125" style="67" customWidth="1"/>
    <col min="13838" max="14080" width="9.140625" style="67"/>
    <col min="14081" max="14081" width="6.7109375" style="67" customWidth="1"/>
    <col min="14082" max="14082" width="41.5703125" style="67" customWidth="1"/>
    <col min="14083" max="14083" width="14.7109375" style="67" customWidth="1"/>
    <col min="14084" max="14084" width="18.85546875" style="67" customWidth="1"/>
    <col min="14085" max="14090" width="14.7109375" style="67" customWidth="1"/>
    <col min="14091" max="14091" width="16.7109375" style="67" customWidth="1"/>
    <col min="14092" max="14092" width="10" style="67" customWidth="1"/>
    <col min="14093" max="14093" width="7.42578125" style="67" customWidth="1"/>
    <col min="14094" max="14336" width="9.140625" style="67"/>
    <col min="14337" max="14337" width="6.7109375" style="67" customWidth="1"/>
    <col min="14338" max="14338" width="41.5703125" style="67" customWidth="1"/>
    <col min="14339" max="14339" width="14.7109375" style="67" customWidth="1"/>
    <col min="14340" max="14340" width="18.85546875" style="67" customWidth="1"/>
    <col min="14341" max="14346" width="14.7109375" style="67" customWidth="1"/>
    <col min="14347" max="14347" width="16.7109375" style="67" customWidth="1"/>
    <col min="14348" max="14348" width="10" style="67" customWidth="1"/>
    <col min="14349" max="14349" width="7.42578125" style="67" customWidth="1"/>
    <col min="14350" max="14592" width="9.140625" style="67"/>
    <col min="14593" max="14593" width="6.7109375" style="67" customWidth="1"/>
    <col min="14594" max="14594" width="41.5703125" style="67" customWidth="1"/>
    <col min="14595" max="14595" width="14.7109375" style="67" customWidth="1"/>
    <col min="14596" max="14596" width="18.85546875" style="67" customWidth="1"/>
    <col min="14597" max="14602" width="14.7109375" style="67" customWidth="1"/>
    <col min="14603" max="14603" width="16.7109375" style="67" customWidth="1"/>
    <col min="14604" max="14604" width="10" style="67" customWidth="1"/>
    <col min="14605" max="14605" width="7.42578125" style="67" customWidth="1"/>
    <col min="14606" max="14848" width="9.140625" style="67"/>
    <col min="14849" max="14849" width="6.7109375" style="67" customWidth="1"/>
    <col min="14850" max="14850" width="41.5703125" style="67" customWidth="1"/>
    <col min="14851" max="14851" width="14.7109375" style="67" customWidth="1"/>
    <col min="14852" max="14852" width="18.85546875" style="67" customWidth="1"/>
    <col min="14853" max="14858" width="14.7109375" style="67" customWidth="1"/>
    <col min="14859" max="14859" width="16.7109375" style="67" customWidth="1"/>
    <col min="14860" max="14860" width="10" style="67" customWidth="1"/>
    <col min="14861" max="14861" width="7.42578125" style="67" customWidth="1"/>
    <col min="14862" max="15104" width="9.140625" style="67"/>
    <col min="15105" max="15105" width="6.7109375" style="67" customWidth="1"/>
    <col min="15106" max="15106" width="41.5703125" style="67" customWidth="1"/>
    <col min="15107" max="15107" width="14.7109375" style="67" customWidth="1"/>
    <col min="15108" max="15108" width="18.85546875" style="67" customWidth="1"/>
    <col min="15109" max="15114" width="14.7109375" style="67" customWidth="1"/>
    <col min="15115" max="15115" width="16.7109375" style="67" customWidth="1"/>
    <col min="15116" max="15116" width="10" style="67" customWidth="1"/>
    <col min="15117" max="15117" width="7.42578125" style="67" customWidth="1"/>
    <col min="15118" max="15360" width="9.140625" style="67"/>
    <col min="15361" max="15361" width="6.7109375" style="67" customWidth="1"/>
    <col min="15362" max="15362" width="41.5703125" style="67" customWidth="1"/>
    <col min="15363" max="15363" width="14.7109375" style="67" customWidth="1"/>
    <col min="15364" max="15364" width="18.85546875" style="67" customWidth="1"/>
    <col min="15365" max="15370" width="14.7109375" style="67" customWidth="1"/>
    <col min="15371" max="15371" width="16.7109375" style="67" customWidth="1"/>
    <col min="15372" max="15372" width="10" style="67" customWidth="1"/>
    <col min="15373" max="15373" width="7.42578125" style="67" customWidth="1"/>
    <col min="15374" max="15616" width="9.140625" style="67"/>
    <col min="15617" max="15617" width="6.7109375" style="67" customWidth="1"/>
    <col min="15618" max="15618" width="41.5703125" style="67" customWidth="1"/>
    <col min="15619" max="15619" width="14.7109375" style="67" customWidth="1"/>
    <col min="15620" max="15620" width="18.85546875" style="67" customWidth="1"/>
    <col min="15621" max="15626" width="14.7109375" style="67" customWidth="1"/>
    <col min="15627" max="15627" width="16.7109375" style="67" customWidth="1"/>
    <col min="15628" max="15628" width="10" style="67" customWidth="1"/>
    <col min="15629" max="15629" width="7.42578125" style="67" customWidth="1"/>
    <col min="15630" max="15872" width="9.140625" style="67"/>
    <col min="15873" max="15873" width="6.7109375" style="67" customWidth="1"/>
    <col min="15874" max="15874" width="41.5703125" style="67" customWidth="1"/>
    <col min="15875" max="15875" width="14.7109375" style="67" customWidth="1"/>
    <col min="15876" max="15876" width="18.85546875" style="67" customWidth="1"/>
    <col min="15877" max="15882" width="14.7109375" style="67" customWidth="1"/>
    <col min="15883" max="15883" width="16.7109375" style="67" customWidth="1"/>
    <col min="15884" max="15884" width="10" style="67" customWidth="1"/>
    <col min="15885" max="15885" width="7.42578125" style="67" customWidth="1"/>
    <col min="15886" max="16128" width="9.140625" style="67"/>
    <col min="16129" max="16129" width="6.7109375" style="67" customWidth="1"/>
    <col min="16130" max="16130" width="41.5703125" style="67" customWidth="1"/>
    <col min="16131" max="16131" width="14.7109375" style="67" customWidth="1"/>
    <col min="16132" max="16132" width="18.85546875" style="67" customWidth="1"/>
    <col min="16133" max="16138" width="14.7109375" style="67" customWidth="1"/>
    <col min="16139" max="16139" width="16.7109375" style="67" customWidth="1"/>
    <col min="16140" max="16140" width="10" style="67" customWidth="1"/>
    <col min="16141" max="16141" width="7.42578125" style="67" customWidth="1"/>
    <col min="16142" max="16384" width="9.140625" style="67"/>
  </cols>
  <sheetData>
    <row r="1" spans="1:16" ht="15" customHeight="1" x14ac:dyDescent="0.2">
      <c r="M1" s="149"/>
    </row>
    <row r="2" spans="1:16" ht="20.100000000000001" customHeight="1" x14ac:dyDescent="0.35">
      <c r="A2" s="1303" t="s">
        <v>508</v>
      </c>
      <c r="B2" s="1196"/>
      <c r="C2" s="1196"/>
      <c r="D2" s="1196"/>
      <c r="E2" s="1196"/>
      <c r="F2" s="1196"/>
      <c r="G2" s="1196"/>
      <c r="H2" s="1196"/>
      <c r="I2" s="1196"/>
      <c r="J2" s="1196"/>
      <c r="K2" s="1196"/>
      <c r="L2" s="1196"/>
      <c r="M2" s="1196"/>
      <c r="N2" s="1304"/>
    </row>
    <row r="3" spans="1:16" ht="15" customHeight="1" x14ac:dyDescent="0.2"/>
    <row r="4" spans="1:16" ht="20.100000000000001" customHeight="1" x14ac:dyDescent="0.2">
      <c r="A4" s="68" t="s">
        <v>217</v>
      </c>
      <c r="L4" s="829"/>
    </row>
    <row r="5" spans="1:16" ht="15" customHeight="1" thickBot="1" x14ac:dyDescent="0.25">
      <c r="A5" s="68"/>
      <c r="M5" s="67"/>
      <c r="N5" s="150" t="s">
        <v>0</v>
      </c>
    </row>
    <row r="6" spans="1:16" s="151" customFormat="1" ht="17.25" customHeight="1" x14ac:dyDescent="0.2">
      <c r="A6" s="1305" t="s">
        <v>88</v>
      </c>
      <c r="B6" s="1314" t="s">
        <v>103</v>
      </c>
      <c r="C6" s="1315"/>
      <c r="D6" s="1198" t="s">
        <v>365</v>
      </c>
      <c r="E6" s="1199"/>
      <c r="F6" s="1198" t="s">
        <v>440</v>
      </c>
      <c r="G6" s="1202"/>
      <c r="H6" s="1199"/>
      <c r="I6" s="1307" t="s">
        <v>507</v>
      </c>
      <c r="J6" s="1308"/>
      <c r="K6" s="1308"/>
      <c r="L6" s="1309"/>
      <c r="M6" s="1310" t="s">
        <v>509</v>
      </c>
      <c r="N6" s="1312" t="s">
        <v>510</v>
      </c>
    </row>
    <row r="7" spans="1:16" s="151" customFormat="1" ht="27" customHeight="1" thickBot="1" x14ac:dyDescent="0.25">
      <c r="A7" s="1306"/>
      <c r="B7" s="1316"/>
      <c r="C7" s="1317"/>
      <c r="D7" s="177" t="s">
        <v>108</v>
      </c>
      <c r="E7" s="178" t="s">
        <v>126</v>
      </c>
      <c r="F7" s="264" t="s">
        <v>109</v>
      </c>
      <c r="G7" s="265" t="s">
        <v>589</v>
      </c>
      <c r="H7" s="266" t="s">
        <v>591</v>
      </c>
      <c r="I7" s="824" t="s">
        <v>124</v>
      </c>
      <c r="J7" s="825" t="s">
        <v>125</v>
      </c>
      <c r="K7" s="826" t="s">
        <v>314</v>
      </c>
      <c r="L7" s="821" t="s">
        <v>85</v>
      </c>
      <c r="M7" s="1311"/>
      <c r="N7" s="1313"/>
    </row>
    <row r="8" spans="1:16" s="69" customFormat="1" ht="20.100000000000001" customHeight="1" thickBot="1" x14ac:dyDescent="0.25">
      <c r="B8" s="152" t="s">
        <v>104</v>
      </c>
      <c r="C8" s="153"/>
      <c r="D8" s="154"/>
      <c r="E8" s="153"/>
      <c r="F8" s="155"/>
      <c r="G8" s="155"/>
      <c r="H8" s="156"/>
      <c r="I8" s="155"/>
      <c r="J8" s="155"/>
      <c r="K8" s="822"/>
      <c r="L8" s="788"/>
      <c r="M8" s="157"/>
    </row>
    <row r="9" spans="1:16" s="470" customFormat="1" ht="20.100000000000001" customHeight="1" x14ac:dyDescent="0.2">
      <c r="A9" s="491">
        <v>3513</v>
      </c>
      <c r="B9" s="1301" t="s">
        <v>213</v>
      </c>
      <c r="C9" s="1302"/>
      <c r="D9" s="436">
        <v>45000</v>
      </c>
      <c r="E9" s="784">
        <v>43102</v>
      </c>
      <c r="F9" s="436">
        <v>45000</v>
      </c>
      <c r="G9" s="471">
        <v>44254.42</v>
      </c>
      <c r="H9" s="498">
        <v>42709.8</v>
      </c>
      <c r="I9" s="436">
        <v>38250</v>
      </c>
      <c r="J9" s="520">
        <v>4500</v>
      </c>
      <c r="K9" s="1070">
        <v>2250</v>
      </c>
      <c r="L9" s="1071">
        <f t="shared" ref="L9:L11" si="0">SUM(I9:K9)</f>
        <v>45000</v>
      </c>
      <c r="M9" s="785">
        <f>L9/F9*100</f>
        <v>100</v>
      </c>
      <c r="N9" s="786">
        <f>L9/G9*100</f>
        <v>101.68475826821366</v>
      </c>
    </row>
    <row r="10" spans="1:16" s="470" customFormat="1" ht="20.100000000000001" customHeight="1" x14ac:dyDescent="0.2">
      <c r="A10" s="637">
        <v>3525</v>
      </c>
      <c r="B10" s="1377" t="s">
        <v>459</v>
      </c>
      <c r="C10" s="1378"/>
      <c r="D10" s="445">
        <v>0</v>
      </c>
      <c r="E10" s="972">
        <v>1000</v>
      </c>
      <c r="F10" s="445">
        <v>0</v>
      </c>
      <c r="G10" s="448">
        <v>0</v>
      </c>
      <c r="H10" s="973">
        <v>0</v>
      </c>
      <c r="I10" s="445">
        <v>0</v>
      </c>
      <c r="J10" s="447">
        <v>0</v>
      </c>
      <c r="K10" s="1072">
        <v>0</v>
      </c>
      <c r="L10" s="1073">
        <f>SUM(I10:K10)</f>
        <v>0</v>
      </c>
      <c r="M10" s="515" t="s">
        <v>60</v>
      </c>
      <c r="N10" s="460" t="s">
        <v>60</v>
      </c>
    </row>
    <row r="11" spans="1:16" s="470" customFormat="1" ht="30" customHeight="1" x14ac:dyDescent="0.2">
      <c r="A11" s="1299">
        <v>3529</v>
      </c>
      <c r="B11" s="1293" t="s">
        <v>225</v>
      </c>
      <c r="C11" s="1294"/>
      <c r="D11" s="512">
        <f>SUM(D12:D15)</f>
        <v>166107</v>
      </c>
      <c r="E11" s="473">
        <f t="shared" ref="E11:K11" si="1">SUM(E12:E15)</f>
        <v>162965.01</v>
      </c>
      <c r="F11" s="512">
        <f t="shared" si="1"/>
        <v>159675</v>
      </c>
      <c r="G11" s="516">
        <f t="shared" si="1"/>
        <v>159675</v>
      </c>
      <c r="H11" s="516">
        <f t="shared" si="1"/>
        <v>119755.71</v>
      </c>
      <c r="I11" s="512">
        <f t="shared" si="1"/>
        <v>87049</v>
      </c>
      <c r="J11" s="834">
        <f t="shared" si="1"/>
        <v>10241</v>
      </c>
      <c r="K11" s="1074">
        <f t="shared" si="1"/>
        <v>5121</v>
      </c>
      <c r="L11" s="962">
        <f t="shared" si="0"/>
        <v>102411</v>
      </c>
      <c r="M11" s="515">
        <f t="shared" ref="M11:M16" si="2">L11/F11*100</f>
        <v>64.137153593236263</v>
      </c>
      <c r="N11" s="460">
        <f t="shared" ref="N11:N16" si="3">L11/G11*100</f>
        <v>64.137153593236263</v>
      </c>
    </row>
    <row r="12" spans="1:16" ht="15" customHeight="1" x14ac:dyDescent="0.2">
      <c r="A12" s="1300"/>
      <c r="B12" s="1362" t="s">
        <v>96</v>
      </c>
      <c r="C12" s="638" t="s">
        <v>138</v>
      </c>
      <c r="D12" s="83">
        <v>4370</v>
      </c>
      <c r="E12" s="93">
        <v>4329.25</v>
      </c>
      <c r="F12" s="83">
        <v>2931</v>
      </c>
      <c r="G12" s="414">
        <v>2731</v>
      </c>
      <c r="H12" s="95">
        <v>2048.04</v>
      </c>
      <c r="I12" s="1008">
        <v>765</v>
      </c>
      <c r="J12" s="1009">
        <v>90</v>
      </c>
      <c r="K12" s="1010">
        <v>45</v>
      </c>
      <c r="L12" s="1011">
        <f>SUM(I12:K12)</f>
        <v>900</v>
      </c>
      <c r="M12" s="130">
        <f>L12/F12*100</f>
        <v>30.706243602865918</v>
      </c>
      <c r="N12" s="79">
        <f>L12/G12*100</f>
        <v>32.954961552544852</v>
      </c>
      <c r="P12" s="147"/>
    </row>
    <row r="13" spans="1:16" ht="15" customHeight="1" x14ac:dyDescent="0.2">
      <c r="A13" s="1300"/>
      <c r="B13" s="1363"/>
      <c r="C13" s="638" t="s">
        <v>137</v>
      </c>
      <c r="D13" s="83">
        <v>11852</v>
      </c>
      <c r="E13" s="93">
        <v>11534.51</v>
      </c>
      <c r="F13" s="83">
        <v>6038</v>
      </c>
      <c r="G13" s="414">
        <v>7496.6</v>
      </c>
      <c r="H13" s="95">
        <v>5622.39</v>
      </c>
      <c r="I13" s="1008">
        <v>595</v>
      </c>
      <c r="J13" s="1009">
        <v>70</v>
      </c>
      <c r="K13" s="1010">
        <v>35</v>
      </c>
      <c r="L13" s="1011">
        <f>SUM(I13:K13)</f>
        <v>700</v>
      </c>
      <c r="M13" s="130">
        <f>L13/F13*100</f>
        <v>11.593242795627692</v>
      </c>
      <c r="N13" s="79">
        <f>L13/G13*100</f>
        <v>9.3375663634180839</v>
      </c>
      <c r="P13" s="147"/>
    </row>
    <row r="14" spans="1:16" ht="15" customHeight="1" x14ac:dyDescent="0.2">
      <c r="A14" s="1300"/>
      <c r="B14" s="1363"/>
      <c r="C14" s="638" t="s">
        <v>414</v>
      </c>
      <c r="D14" s="83">
        <v>5640</v>
      </c>
      <c r="E14" s="82">
        <v>5481.25</v>
      </c>
      <c r="F14" s="83">
        <v>6225</v>
      </c>
      <c r="G14" s="414">
        <v>6225</v>
      </c>
      <c r="H14" s="95">
        <v>4668.57</v>
      </c>
      <c r="I14" s="83">
        <v>3162</v>
      </c>
      <c r="J14" s="1014">
        <v>372</v>
      </c>
      <c r="K14" s="1015">
        <v>186</v>
      </c>
      <c r="L14" s="1011">
        <f t="shared" ref="L14" si="4">SUM(I14:K14)</f>
        <v>3720</v>
      </c>
      <c r="M14" s="130">
        <f>L14/F14*100</f>
        <v>59.759036144578317</v>
      </c>
      <c r="N14" s="79">
        <f>L14/G14*100</f>
        <v>59.759036144578317</v>
      </c>
      <c r="P14" s="147"/>
    </row>
    <row r="15" spans="1:16" ht="15" customHeight="1" x14ac:dyDescent="0.2">
      <c r="A15" s="1300"/>
      <c r="B15" s="1363"/>
      <c r="C15" s="638" t="s">
        <v>376</v>
      </c>
      <c r="D15" s="83">
        <v>144245</v>
      </c>
      <c r="E15" s="93">
        <v>141620</v>
      </c>
      <c r="F15" s="83">
        <v>144481</v>
      </c>
      <c r="G15" s="414">
        <v>143222.39999999999</v>
      </c>
      <c r="H15" s="95">
        <v>107416.71</v>
      </c>
      <c r="I15" s="1008">
        <v>82527</v>
      </c>
      <c r="J15" s="1009">
        <v>9709</v>
      </c>
      <c r="K15" s="1010">
        <v>4855</v>
      </c>
      <c r="L15" s="1011">
        <f t="shared" ref="L15:L20" si="5">SUM(I15:K15)</f>
        <v>97091</v>
      </c>
      <c r="M15" s="130">
        <f>L15/F15*100</f>
        <v>67.199839425253145</v>
      </c>
      <c r="N15" s="79">
        <f>L15/G15*100</f>
        <v>67.790373572848935</v>
      </c>
      <c r="P15" s="147"/>
    </row>
    <row r="16" spans="1:16" s="470" customFormat="1" ht="30" customHeight="1" x14ac:dyDescent="0.2">
      <c r="A16" s="1299">
        <v>3533</v>
      </c>
      <c r="B16" s="1293" t="s">
        <v>214</v>
      </c>
      <c r="C16" s="1294"/>
      <c r="D16" s="512">
        <f>SUM(D17:D20)</f>
        <v>682218</v>
      </c>
      <c r="E16" s="473">
        <f t="shared" ref="E16:K16" si="6">SUM(E17:E20)</f>
        <v>484141.97</v>
      </c>
      <c r="F16" s="512">
        <f t="shared" si="6"/>
        <v>572218</v>
      </c>
      <c r="G16" s="516">
        <f t="shared" si="6"/>
        <v>613597.73</v>
      </c>
      <c r="H16" s="516">
        <f t="shared" si="6"/>
        <v>470543.12</v>
      </c>
      <c r="I16" s="512">
        <f t="shared" si="6"/>
        <v>502536</v>
      </c>
      <c r="J16" s="834">
        <f t="shared" si="6"/>
        <v>59121</v>
      </c>
      <c r="K16" s="1074">
        <f t="shared" si="6"/>
        <v>29561</v>
      </c>
      <c r="L16" s="962">
        <f t="shared" si="5"/>
        <v>591218</v>
      </c>
      <c r="M16" s="515">
        <f t="shared" si="2"/>
        <v>103.32041284964821</v>
      </c>
      <c r="N16" s="518">
        <f t="shared" si="3"/>
        <v>96.352703260489562</v>
      </c>
      <c r="P16" s="658"/>
    </row>
    <row r="17" spans="1:16" ht="15" customHeight="1" x14ac:dyDescent="0.2">
      <c r="A17" s="1300"/>
      <c r="B17" s="1362" t="s">
        <v>96</v>
      </c>
      <c r="C17" s="638" t="s">
        <v>138</v>
      </c>
      <c r="D17" s="83">
        <v>0</v>
      </c>
      <c r="E17" s="75">
        <v>0</v>
      </c>
      <c r="F17" s="83">
        <v>0</v>
      </c>
      <c r="G17" s="853">
        <v>0</v>
      </c>
      <c r="H17" s="75">
        <v>0</v>
      </c>
      <c r="I17" s="872">
        <v>0</v>
      </c>
      <c r="J17" s="963">
        <v>0</v>
      </c>
      <c r="K17" s="964">
        <v>0</v>
      </c>
      <c r="L17" s="1011">
        <f t="shared" si="5"/>
        <v>0</v>
      </c>
      <c r="M17" s="130" t="s">
        <v>60</v>
      </c>
      <c r="N17" s="79" t="s">
        <v>60</v>
      </c>
      <c r="P17" s="147"/>
    </row>
    <row r="18" spans="1:16" ht="15" customHeight="1" x14ac:dyDescent="0.2">
      <c r="A18" s="1300"/>
      <c r="B18" s="1363"/>
      <c r="C18" s="638" t="s">
        <v>137</v>
      </c>
      <c r="D18" s="83">
        <v>12198</v>
      </c>
      <c r="E18" s="93">
        <v>9148.5</v>
      </c>
      <c r="F18" s="83">
        <v>0</v>
      </c>
      <c r="G18" s="853">
        <v>0</v>
      </c>
      <c r="H18" s="75">
        <v>0</v>
      </c>
      <c r="I18" s="872">
        <v>0</v>
      </c>
      <c r="J18" s="963">
        <v>0</v>
      </c>
      <c r="K18" s="964">
        <v>0</v>
      </c>
      <c r="L18" s="1011">
        <f t="shared" si="5"/>
        <v>0</v>
      </c>
      <c r="M18" s="130" t="s">
        <v>60</v>
      </c>
      <c r="N18" s="79" t="s">
        <v>60</v>
      </c>
      <c r="P18" s="147"/>
    </row>
    <row r="19" spans="1:16" ht="15" customHeight="1" x14ac:dyDescent="0.2">
      <c r="A19" s="1300"/>
      <c r="B19" s="1363"/>
      <c r="C19" s="638" t="s">
        <v>414</v>
      </c>
      <c r="D19" s="83">
        <v>9914</v>
      </c>
      <c r="E19" s="82">
        <v>9914</v>
      </c>
      <c r="F19" s="83">
        <v>9914</v>
      </c>
      <c r="G19" s="853">
        <v>10906.07</v>
      </c>
      <c r="H19" s="75">
        <v>8427.52</v>
      </c>
      <c r="I19" s="872">
        <v>8427</v>
      </c>
      <c r="J19" s="963">
        <v>991</v>
      </c>
      <c r="K19" s="964">
        <v>496</v>
      </c>
      <c r="L19" s="1011">
        <f t="shared" si="5"/>
        <v>9914</v>
      </c>
      <c r="M19" s="130">
        <f>L19/F19*100</f>
        <v>100</v>
      </c>
      <c r="N19" s="79">
        <f>L19/G19*100</f>
        <v>90.903506029211258</v>
      </c>
      <c r="P19" s="147"/>
    </row>
    <row r="20" spans="1:16" ht="15" customHeight="1" x14ac:dyDescent="0.2">
      <c r="A20" s="1321"/>
      <c r="B20" s="1364"/>
      <c r="C20" s="638" t="s">
        <v>376</v>
      </c>
      <c r="D20" s="83">
        <v>660106</v>
      </c>
      <c r="E20" s="93">
        <v>465079.47</v>
      </c>
      <c r="F20" s="83">
        <v>562304</v>
      </c>
      <c r="G20" s="853">
        <v>602691.66</v>
      </c>
      <c r="H20" s="75">
        <v>462115.6</v>
      </c>
      <c r="I20" s="872">
        <v>494109</v>
      </c>
      <c r="J20" s="963">
        <v>58130</v>
      </c>
      <c r="K20" s="964">
        <v>29065</v>
      </c>
      <c r="L20" s="1011">
        <f t="shared" si="5"/>
        <v>581304</v>
      </c>
      <c r="M20" s="130">
        <f>L20/F20*100</f>
        <v>103.3789551559299</v>
      </c>
      <c r="N20" s="79">
        <f>L20/G20*100</f>
        <v>96.451309779199519</v>
      </c>
      <c r="P20" s="147"/>
    </row>
    <row r="21" spans="1:16" s="470" customFormat="1" ht="20.100000000000001" customHeight="1" x14ac:dyDescent="0.2">
      <c r="A21" s="489">
        <v>3599</v>
      </c>
      <c r="B21" s="1293" t="s">
        <v>215</v>
      </c>
      <c r="C21" s="1294"/>
      <c r="D21" s="512">
        <v>5949</v>
      </c>
      <c r="E21" s="478">
        <v>6152.95</v>
      </c>
      <c r="F21" s="512">
        <v>6049</v>
      </c>
      <c r="G21" s="510">
        <v>7407.88</v>
      </c>
      <c r="H21" s="480">
        <v>3862.94</v>
      </c>
      <c r="I21" s="1022">
        <v>5524</v>
      </c>
      <c r="J21" s="1023">
        <v>649</v>
      </c>
      <c r="K21" s="1031">
        <v>326</v>
      </c>
      <c r="L21" s="962">
        <f t="shared" ref="L21:L22" si="7">SUM(I21:K21)</f>
        <v>6499</v>
      </c>
      <c r="M21" s="515">
        <f t="shared" ref="M21:M23" si="8">L21/F21*100</f>
        <v>107.43924615638949</v>
      </c>
      <c r="N21" s="460">
        <f t="shared" ref="N21:N23" si="9">L21/G21*100</f>
        <v>87.730902768403368</v>
      </c>
    </row>
    <row r="22" spans="1:16" s="470" customFormat="1" ht="30" customHeight="1" thickBot="1" x14ac:dyDescent="0.25">
      <c r="A22" s="489">
        <v>3599</v>
      </c>
      <c r="B22" s="1293" t="s">
        <v>216</v>
      </c>
      <c r="C22" s="1294"/>
      <c r="D22" s="512">
        <v>30500</v>
      </c>
      <c r="E22" s="478">
        <v>30500</v>
      </c>
      <c r="F22" s="512">
        <v>32830</v>
      </c>
      <c r="G22" s="510">
        <v>32830</v>
      </c>
      <c r="H22" s="480">
        <v>32830</v>
      </c>
      <c r="I22" s="1022">
        <v>8402</v>
      </c>
      <c r="J22" s="1023">
        <v>989</v>
      </c>
      <c r="K22" s="1031">
        <v>494</v>
      </c>
      <c r="L22" s="962">
        <f t="shared" si="7"/>
        <v>9885</v>
      </c>
      <c r="M22" s="515">
        <f t="shared" si="8"/>
        <v>30.109655802619557</v>
      </c>
      <c r="N22" s="460">
        <f t="shared" si="9"/>
        <v>30.109655802619557</v>
      </c>
    </row>
    <row r="23" spans="1:16" ht="20.100000000000001" customHeight="1" thickBot="1" x14ac:dyDescent="0.25">
      <c r="A23" s="186"/>
      <c r="B23" s="401" t="s">
        <v>85</v>
      </c>
      <c r="C23" s="643"/>
      <c r="D23" s="181">
        <f t="shared" ref="D23:L23" si="10">SUM(D9:D11)+SUM(D16:D16)+SUM(D21:D22)</f>
        <v>929774</v>
      </c>
      <c r="E23" s="197">
        <f t="shared" si="10"/>
        <v>727861.92999999993</v>
      </c>
      <c r="F23" s="615">
        <f t="shared" si="10"/>
        <v>815772</v>
      </c>
      <c r="G23" s="197">
        <f t="shared" si="10"/>
        <v>857765.02999999991</v>
      </c>
      <c r="H23" s="616">
        <f t="shared" si="10"/>
        <v>669701.57000000007</v>
      </c>
      <c r="I23" s="615">
        <f t="shared" si="10"/>
        <v>641761</v>
      </c>
      <c r="J23" s="955">
        <f t="shared" si="10"/>
        <v>75500</v>
      </c>
      <c r="K23" s="1075">
        <f t="shared" si="10"/>
        <v>37752</v>
      </c>
      <c r="L23" s="1033">
        <f t="shared" si="10"/>
        <v>755013</v>
      </c>
      <c r="M23" s="200">
        <f t="shared" si="8"/>
        <v>92.551963048498848</v>
      </c>
      <c r="N23" s="185">
        <f t="shared" si="9"/>
        <v>88.020958373646934</v>
      </c>
    </row>
    <row r="24" spans="1:16" ht="15" x14ac:dyDescent="0.2">
      <c r="A24" s="70"/>
      <c r="B24" s="70"/>
      <c r="C24" s="503"/>
      <c r="D24" s="503"/>
      <c r="E24" s="659"/>
      <c r="F24" s="122"/>
      <c r="G24" s="660"/>
      <c r="H24" s="660"/>
      <c r="I24" s="660"/>
      <c r="J24" s="660"/>
      <c r="K24" s="660"/>
      <c r="L24" s="661"/>
      <c r="M24" s="123"/>
      <c r="N24" s="339"/>
    </row>
    <row r="25" spans="1:16" x14ac:dyDescent="0.2">
      <c r="E25" s="147"/>
      <c r="H25" s="147"/>
      <c r="K25" s="147"/>
      <c r="L25" s="147"/>
    </row>
    <row r="26" spans="1:16" x14ac:dyDescent="0.2">
      <c r="E26" s="147"/>
      <c r="H26" s="147"/>
      <c r="K26" s="147"/>
      <c r="L26" s="147"/>
      <c r="M26" s="1173"/>
    </row>
  </sheetData>
  <mergeCells count="18">
    <mergeCell ref="B10:C10"/>
    <mergeCell ref="N6:N7"/>
    <mergeCell ref="B16:C16"/>
    <mergeCell ref="B11:C11"/>
    <mergeCell ref="B9:C9"/>
    <mergeCell ref="M6:M7"/>
    <mergeCell ref="F6:H6"/>
    <mergeCell ref="B21:C21"/>
    <mergeCell ref="B22:C22"/>
    <mergeCell ref="B17:B20"/>
    <mergeCell ref="A11:A15"/>
    <mergeCell ref="A16:A20"/>
    <mergeCell ref="B12:B15"/>
    <mergeCell ref="A6:A7"/>
    <mergeCell ref="B6:C7"/>
    <mergeCell ref="D6:E6"/>
    <mergeCell ref="I6:L6"/>
    <mergeCell ref="A2:N2"/>
  </mergeCells>
  <dataValidations count="2">
    <dataValidation type="whole" operator="greaterThan" allowBlank="1" showInputMessage="1" showErrorMessage="1" error="Nutno zadat celé číslo" sqref="L10 JH10 TD10 ACZ10 AMV10 AWR10 BGN10 BQJ10 CAF10 CKB10 CTX10 DDT10 DNP10 DXL10 EHH10 ERD10 FAZ10 FKV10 FUR10 GEN10 GOJ10 GYF10 HIB10 HRX10 IBT10 ILP10 IVL10 JFH10 JPD10 JYZ10 KIV10 KSR10 LCN10 LMJ10 LWF10 MGB10 MPX10 MZT10 NJP10 NTL10 ODH10 OND10 OWZ10 PGV10 PQR10 QAN10 QKJ10 QUF10 REB10 RNX10 RXT10 SHP10 SRL10 TBH10 TLD10 TUZ10 UEV10 UOR10 UYN10 VIJ10 VSF10 WCB10 WLX10 WVT10" xr:uid="{B948F521-7955-4313-80B7-C9BB5B298F7F}">
      <formula1>0</formula1>
    </dataValidation>
    <dataValidation type="whole" operator="greaterThanOrEqual" allowBlank="1" showInputMessage="1" showErrorMessage="1" error="Nutno zadat celé číslo" sqref="I12:K15 I17:K20" xr:uid="{5E93B41D-E83D-47D7-9FD3-7690B31F4230}">
      <formula1>0</formula1>
    </dataValidation>
  </dataValidations>
  <printOptions horizontalCentered="1"/>
  <pageMargins left="0.59055118110236227" right="0.59055118110236227" top="0.78740157480314965" bottom="0.78740157480314965" header="0.59055118110236227" footer="0.59055118110236227"/>
  <pageSetup paperSize="9" scale="65" fitToHeight="0"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O25"/>
  <sheetViews>
    <sheetView workbookViewId="0"/>
  </sheetViews>
  <sheetFormatPr defaultColWidth="9.140625" defaultRowHeight="12.75" x14ac:dyDescent="0.2"/>
  <cols>
    <col min="1" max="1" width="7.7109375" style="1" customWidth="1"/>
    <col min="2" max="2" width="6.7109375" style="1" customWidth="1"/>
    <col min="3" max="3" width="40.7109375" style="1" customWidth="1"/>
    <col min="4" max="4" width="14.7109375" style="2" customWidth="1"/>
    <col min="5" max="5" width="14.7109375" style="3" customWidth="1"/>
    <col min="6" max="6" width="14.7109375" style="2" customWidth="1"/>
    <col min="7" max="7" width="16.28515625" style="3" customWidth="1"/>
    <col min="8" max="9" width="14.7109375" style="3" customWidth="1"/>
    <col min="10" max="10" width="15.7109375" style="3" customWidth="1"/>
    <col min="11" max="11" width="14.7109375" style="3" customWidth="1"/>
    <col min="12" max="12" width="14.7109375" style="787" customWidth="1"/>
    <col min="13" max="14" width="9.7109375" style="5" customWidth="1"/>
    <col min="15" max="15" width="11" style="1" customWidth="1"/>
    <col min="16" max="16384" width="9.140625" style="1"/>
  </cols>
  <sheetData>
    <row r="1" spans="1:15" ht="15" x14ac:dyDescent="0.25">
      <c r="N1" s="6"/>
    </row>
    <row r="2" spans="1:15" ht="20.100000000000001" customHeight="1" x14ac:dyDescent="0.35">
      <c r="A2" s="1303" t="s">
        <v>508</v>
      </c>
      <c r="B2" s="1196"/>
      <c r="C2" s="1196"/>
      <c r="D2" s="1196"/>
      <c r="E2" s="1196"/>
      <c r="F2" s="1196"/>
      <c r="G2" s="1196"/>
      <c r="H2" s="1196"/>
      <c r="I2" s="1196"/>
      <c r="J2" s="1196"/>
      <c r="K2" s="1196"/>
      <c r="L2" s="1196"/>
      <c r="M2" s="1196"/>
      <c r="N2" s="1304"/>
      <c r="O2" s="29"/>
    </row>
    <row r="3" spans="1:15" ht="15" customHeight="1" x14ac:dyDescent="0.2"/>
    <row r="4" spans="1:15" ht="20.100000000000001" customHeight="1" x14ac:dyDescent="0.3">
      <c r="A4" s="7" t="s">
        <v>184</v>
      </c>
      <c r="M4" s="8"/>
    </row>
    <row r="5" spans="1:15" ht="15" customHeight="1" thickBot="1" x14ac:dyDescent="0.35">
      <c r="A5" s="7"/>
      <c r="N5" s="8" t="s">
        <v>0</v>
      </c>
    </row>
    <row r="6" spans="1:15" s="62" customFormat="1" ht="1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15"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15" s="9" customFormat="1" ht="20.100000000000001" customHeight="1" thickBot="1" x14ac:dyDescent="0.3">
      <c r="B8" s="10" t="s">
        <v>104</v>
      </c>
      <c r="C8" s="10"/>
      <c r="D8" s="11"/>
      <c r="E8" s="12"/>
      <c r="F8" s="11"/>
      <c r="G8" s="13"/>
      <c r="H8" s="13"/>
      <c r="I8" s="13"/>
      <c r="J8" s="13"/>
      <c r="K8" s="13"/>
      <c r="L8" s="268"/>
      <c r="M8" s="16"/>
      <c r="N8" s="16"/>
    </row>
    <row r="9" spans="1:15" s="509" customFormat="1" ht="30" customHeight="1" x14ac:dyDescent="0.2">
      <c r="A9" s="886">
        <v>2143</v>
      </c>
      <c r="B9" s="1301" t="s">
        <v>185</v>
      </c>
      <c r="C9" s="1302"/>
      <c r="D9" s="436">
        <v>500</v>
      </c>
      <c r="E9" s="554">
        <v>2.16</v>
      </c>
      <c r="F9" s="472">
        <v>500</v>
      </c>
      <c r="G9" s="563">
        <v>459.4</v>
      </c>
      <c r="H9" s="439">
        <v>0</v>
      </c>
      <c r="I9" s="472">
        <v>0</v>
      </c>
      <c r="J9" s="438">
        <v>0</v>
      </c>
      <c r="K9" s="1021">
        <v>0</v>
      </c>
      <c r="L9" s="961">
        <f t="shared" ref="L9:L12" si="0">SUM(I9:K9)</f>
        <v>0</v>
      </c>
      <c r="M9" s="441">
        <f t="shared" ref="M9:M12" si="1">L9/F9*100</f>
        <v>0</v>
      </c>
      <c r="N9" s="442">
        <f t="shared" ref="N9:N12" si="2">L9/G9*100</f>
        <v>0</v>
      </c>
    </row>
    <row r="10" spans="1:15" s="509" customFormat="1" ht="20.100000000000001" customHeight="1" x14ac:dyDescent="0.2">
      <c r="A10" s="489">
        <v>2143</v>
      </c>
      <c r="B10" s="1295" t="s">
        <v>186</v>
      </c>
      <c r="C10" s="1296"/>
      <c r="D10" s="454">
        <v>500</v>
      </c>
      <c r="E10" s="555">
        <v>0</v>
      </c>
      <c r="F10" s="512">
        <v>1000</v>
      </c>
      <c r="G10" s="564">
        <v>1040.5999999999999</v>
      </c>
      <c r="H10" s="450">
        <v>411.28</v>
      </c>
      <c r="I10" s="897">
        <v>0</v>
      </c>
      <c r="J10" s="513">
        <v>0</v>
      </c>
      <c r="K10" s="1057">
        <v>0</v>
      </c>
      <c r="L10" s="962">
        <f t="shared" si="0"/>
        <v>0</v>
      </c>
      <c r="M10" s="459">
        <f t="shared" si="1"/>
        <v>0</v>
      </c>
      <c r="N10" s="460">
        <f t="shared" si="2"/>
        <v>0</v>
      </c>
    </row>
    <row r="11" spans="1:15" s="509" customFormat="1" ht="20.100000000000001" customHeight="1" x14ac:dyDescent="0.2">
      <c r="A11" s="489">
        <v>2143</v>
      </c>
      <c r="B11" s="1295" t="s">
        <v>187</v>
      </c>
      <c r="C11" s="1296"/>
      <c r="D11" s="512">
        <v>2000</v>
      </c>
      <c r="E11" s="555">
        <v>2000</v>
      </c>
      <c r="F11" s="512">
        <v>2000</v>
      </c>
      <c r="G11" s="516">
        <v>2000</v>
      </c>
      <c r="H11" s="555">
        <v>2000</v>
      </c>
      <c r="I11" s="512">
        <v>0</v>
      </c>
      <c r="J11" s="834">
        <v>2000</v>
      </c>
      <c r="K11" s="834">
        <v>0</v>
      </c>
      <c r="L11" s="962">
        <f t="shared" si="0"/>
        <v>2000</v>
      </c>
      <c r="M11" s="459">
        <f t="shared" si="1"/>
        <v>100</v>
      </c>
      <c r="N11" s="460">
        <f t="shared" si="2"/>
        <v>100</v>
      </c>
    </row>
    <row r="12" spans="1:15" s="509" customFormat="1" ht="30" customHeight="1" x14ac:dyDescent="0.2">
      <c r="A12" s="489">
        <v>2510</v>
      </c>
      <c r="B12" s="1295" t="s">
        <v>411</v>
      </c>
      <c r="C12" s="1296"/>
      <c r="D12" s="512">
        <v>1600</v>
      </c>
      <c r="E12" s="555">
        <v>198</v>
      </c>
      <c r="F12" s="512">
        <v>1000</v>
      </c>
      <c r="G12" s="516">
        <v>1000</v>
      </c>
      <c r="H12" s="555">
        <v>198</v>
      </c>
      <c r="I12" s="512">
        <v>0</v>
      </c>
      <c r="J12" s="834">
        <v>900</v>
      </c>
      <c r="K12" s="834">
        <v>0</v>
      </c>
      <c r="L12" s="962">
        <f t="shared" si="0"/>
        <v>900</v>
      </c>
      <c r="M12" s="459">
        <f t="shared" si="1"/>
        <v>90</v>
      </c>
      <c r="N12" s="460">
        <f t="shared" si="2"/>
        <v>90</v>
      </c>
      <c r="O12" s="4"/>
    </row>
    <row r="13" spans="1:15" s="509" customFormat="1" ht="20.100000000000001" customHeight="1" x14ac:dyDescent="0.2">
      <c r="A13" s="489">
        <v>3115</v>
      </c>
      <c r="B13" s="1295" t="s">
        <v>472</v>
      </c>
      <c r="C13" s="1296"/>
      <c r="D13" s="512">
        <v>0</v>
      </c>
      <c r="E13" s="555">
        <v>0</v>
      </c>
      <c r="F13" s="512">
        <v>500</v>
      </c>
      <c r="G13" s="516">
        <v>500</v>
      </c>
      <c r="H13" s="555">
        <v>84</v>
      </c>
      <c r="I13" s="512">
        <v>0</v>
      </c>
      <c r="J13" s="834">
        <v>0</v>
      </c>
      <c r="K13" s="834">
        <v>0</v>
      </c>
      <c r="L13" s="962">
        <f t="shared" ref="L13:L16" si="3">SUM(I13:K13)</f>
        <v>0</v>
      </c>
      <c r="M13" s="459">
        <f t="shared" ref="M13" si="4">L13/F13*100</f>
        <v>0</v>
      </c>
      <c r="N13" s="460">
        <f t="shared" ref="N13" si="5">L13/G13*100</f>
        <v>0</v>
      </c>
    </row>
    <row r="14" spans="1:15" s="509" customFormat="1" ht="52.5" customHeight="1" x14ac:dyDescent="0.2">
      <c r="A14" s="489">
        <v>3636</v>
      </c>
      <c r="B14" s="1295" t="s">
        <v>490</v>
      </c>
      <c r="C14" s="1296"/>
      <c r="D14" s="512">
        <v>2500</v>
      </c>
      <c r="E14" s="555">
        <v>2250</v>
      </c>
      <c r="F14" s="512">
        <v>2500</v>
      </c>
      <c r="G14" s="516">
        <v>2650</v>
      </c>
      <c r="H14" s="555">
        <v>150</v>
      </c>
      <c r="I14" s="512">
        <v>0</v>
      </c>
      <c r="J14" s="834">
        <v>2500</v>
      </c>
      <c r="K14" s="834">
        <v>0</v>
      </c>
      <c r="L14" s="962">
        <f t="shared" si="3"/>
        <v>2500</v>
      </c>
      <c r="M14" s="459">
        <f t="shared" ref="M14:M20" si="6">L14/F14*100</f>
        <v>100</v>
      </c>
      <c r="N14" s="460">
        <f t="shared" ref="N14:N20" si="7">L14/G14*100</f>
        <v>94.339622641509436</v>
      </c>
    </row>
    <row r="15" spans="1:15" s="509" customFormat="1" ht="32.25" customHeight="1" x14ac:dyDescent="0.2">
      <c r="A15" s="489">
        <v>3636</v>
      </c>
      <c r="B15" s="1379" t="s">
        <v>535</v>
      </c>
      <c r="C15" s="1380"/>
      <c r="D15" s="512">
        <v>0</v>
      </c>
      <c r="E15" s="555">
        <v>0</v>
      </c>
      <c r="F15" s="512">
        <v>0</v>
      </c>
      <c r="G15" s="516">
        <v>0</v>
      </c>
      <c r="H15" s="555">
        <v>0</v>
      </c>
      <c r="I15" s="512">
        <v>0</v>
      </c>
      <c r="J15" s="834">
        <v>2000</v>
      </c>
      <c r="K15" s="834">
        <v>0</v>
      </c>
      <c r="L15" s="962">
        <f>SUM(I15:K15)</f>
        <v>2000</v>
      </c>
      <c r="M15" s="970" t="s">
        <v>60</v>
      </c>
      <c r="N15" s="971" t="s">
        <v>60</v>
      </c>
    </row>
    <row r="16" spans="1:15" s="509" customFormat="1" ht="79.5" customHeight="1" x14ac:dyDescent="0.2">
      <c r="A16" s="489">
        <v>3636</v>
      </c>
      <c r="B16" s="1295" t="s">
        <v>491</v>
      </c>
      <c r="C16" s="1296"/>
      <c r="D16" s="512">
        <v>2000</v>
      </c>
      <c r="E16" s="555">
        <v>787.94</v>
      </c>
      <c r="F16" s="512">
        <v>2500</v>
      </c>
      <c r="G16" s="516">
        <v>2500</v>
      </c>
      <c r="H16" s="555">
        <v>793.65</v>
      </c>
      <c r="I16" s="512">
        <v>0</v>
      </c>
      <c r="J16" s="834">
        <v>0</v>
      </c>
      <c r="K16" s="834">
        <v>0</v>
      </c>
      <c r="L16" s="962">
        <f t="shared" si="3"/>
        <v>0</v>
      </c>
      <c r="M16" s="459">
        <f t="shared" ref="M16" si="8">L16/F16*100</f>
        <v>0</v>
      </c>
      <c r="N16" s="460">
        <f t="shared" ref="N16" si="9">L16/G16*100</f>
        <v>0</v>
      </c>
      <c r="O16" s="899"/>
    </row>
    <row r="17" spans="1:15" s="509" customFormat="1" ht="30" customHeight="1" x14ac:dyDescent="0.2">
      <c r="A17" s="489">
        <v>3636</v>
      </c>
      <c r="B17" s="1295" t="s">
        <v>391</v>
      </c>
      <c r="C17" s="1296"/>
      <c r="D17" s="512">
        <v>250</v>
      </c>
      <c r="E17" s="555">
        <v>0</v>
      </c>
      <c r="F17" s="512">
        <v>0</v>
      </c>
      <c r="G17" s="516">
        <v>0</v>
      </c>
      <c r="H17" s="555">
        <v>0</v>
      </c>
      <c r="I17" s="512">
        <v>0</v>
      </c>
      <c r="J17" s="834">
        <v>0</v>
      </c>
      <c r="K17" s="834">
        <v>0</v>
      </c>
      <c r="L17" s="962">
        <f>SUM(I17:K17)</f>
        <v>0</v>
      </c>
      <c r="M17" s="459" t="s">
        <v>60</v>
      </c>
      <c r="N17" s="460" t="s">
        <v>60</v>
      </c>
    </row>
    <row r="18" spans="1:15" s="509" customFormat="1" ht="20.100000000000001" customHeight="1" x14ac:dyDescent="0.2">
      <c r="A18" s="489">
        <v>3636</v>
      </c>
      <c r="B18" s="1295" t="s">
        <v>294</v>
      </c>
      <c r="C18" s="1296"/>
      <c r="D18" s="512">
        <v>0</v>
      </c>
      <c r="E18" s="555">
        <v>59</v>
      </c>
      <c r="F18" s="512">
        <v>0</v>
      </c>
      <c r="G18" s="516">
        <v>3560</v>
      </c>
      <c r="H18" s="555">
        <v>560</v>
      </c>
      <c r="I18" s="512">
        <v>0</v>
      </c>
      <c r="J18" s="834">
        <v>0</v>
      </c>
      <c r="K18" s="834">
        <v>0</v>
      </c>
      <c r="L18" s="962">
        <f t="shared" ref="L18" si="10">SUM(I18:K18)</f>
        <v>0</v>
      </c>
      <c r="M18" s="459" t="s">
        <v>60</v>
      </c>
      <c r="N18" s="460">
        <f t="shared" ref="N18" si="11">L18/G18*100</f>
        <v>0</v>
      </c>
    </row>
    <row r="19" spans="1:15" s="509" customFormat="1" ht="20.100000000000001" customHeight="1" x14ac:dyDescent="0.2">
      <c r="A19" s="489">
        <v>3636</v>
      </c>
      <c r="B19" s="1295" t="s">
        <v>580</v>
      </c>
      <c r="C19" s="1296"/>
      <c r="D19" s="512">
        <v>7800</v>
      </c>
      <c r="E19" s="555">
        <v>779.39</v>
      </c>
      <c r="F19" s="512">
        <v>7018</v>
      </c>
      <c r="G19" s="516">
        <v>9253.07</v>
      </c>
      <c r="H19" s="555">
        <v>3912.96</v>
      </c>
      <c r="I19" s="512">
        <v>15150</v>
      </c>
      <c r="J19" s="834">
        <v>0</v>
      </c>
      <c r="K19" s="834">
        <v>0</v>
      </c>
      <c r="L19" s="962">
        <f t="shared" ref="L19" si="12">SUM(I19:K19)</f>
        <v>15150</v>
      </c>
      <c r="M19" s="459">
        <f t="shared" si="6"/>
        <v>215.87346822456541</v>
      </c>
      <c r="N19" s="460">
        <f t="shared" ref="N19" si="13">L19/G19*100</f>
        <v>163.72944330908553</v>
      </c>
    </row>
    <row r="20" spans="1:15" s="509" customFormat="1" ht="30" customHeight="1" thickBot="1" x14ac:dyDescent="0.25">
      <c r="A20" s="489">
        <v>6172</v>
      </c>
      <c r="B20" s="1295" t="s">
        <v>348</v>
      </c>
      <c r="C20" s="1296"/>
      <c r="D20" s="512">
        <v>200</v>
      </c>
      <c r="E20" s="555">
        <v>85.27</v>
      </c>
      <c r="F20" s="512">
        <v>200</v>
      </c>
      <c r="G20" s="516">
        <v>200</v>
      </c>
      <c r="H20" s="555">
        <v>26.4</v>
      </c>
      <c r="I20" s="512">
        <v>0</v>
      </c>
      <c r="J20" s="834">
        <v>0</v>
      </c>
      <c r="K20" s="834">
        <v>100</v>
      </c>
      <c r="L20" s="962">
        <f>SUM(I20:K20)</f>
        <v>100</v>
      </c>
      <c r="M20" s="459">
        <f t="shared" si="6"/>
        <v>50</v>
      </c>
      <c r="N20" s="460">
        <f t="shared" si="7"/>
        <v>50</v>
      </c>
    </row>
    <row r="21" spans="1:15" ht="20.100000000000001" customHeight="1" thickBot="1" x14ac:dyDescent="0.3">
      <c r="A21" s="186"/>
      <c r="B21" s="401" t="s">
        <v>85</v>
      </c>
      <c r="C21" s="643"/>
      <c r="D21" s="181">
        <f t="shared" ref="D21:L21" si="14">SUM(D9:D20)</f>
        <v>17350</v>
      </c>
      <c r="E21" s="193">
        <f t="shared" si="14"/>
        <v>6161.7600000000011</v>
      </c>
      <c r="F21" s="191">
        <f t="shared" si="14"/>
        <v>17218</v>
      </c>
      <c r="G21" s="183">
        <f t="shared" si="14"/>
        <v>23163.07</v>
      </c>
      <c r="H21" s="183">
        <f t="shared" si="14"/>
        <v>8136.29</v>
      </c>
      <c r="I21" s="181">
        <f t="shared" si="14"/>
        <v>15150</v>
      </c>
      <c r="J21" s="956">
        <f t="shared" si="14"/>
        <v>7400</v>
      </c>
      <c r="K21" s="191">
        <f t="shared" si="14"/>
        <v>100</v>
      </c>
      <c r="L21" s="981">
        <f t="shared" si="14"/>
        <v>22650</v>
      </c>
      <c r="M21" s="184">
        <f>L21/F21*100</f>
        <v>131.54837960274133</v>
      </c>
      <c r="N21" s="195">
        <f t="shared" ref="N21" si="15">L21/G21*100</f>
        <v>97.78496546442247</v>
      </c>
      <c r="O21" s="18"/>
    </row>
    <row r="22" spans="1:15" x14ac:dyDescent="0.2">
      <c r="C22" s="2"/>
      <c r="D22" s="3"/>
      <c r="F22" s="3"/>
      <c r="L22" s="3"/>
      <c r="N22" s="1"/>
    </row>
    <row r="23" spans="1:15" ht="15.75" x14ac:dyDescent="0.25">
      <c r="A23" s="9"/>
      <c r="C23" s="929"/>
      <c r="D23" s="3"/>
      <c r="F23" s="3"/>
      <c r="L23" s="3"/>
      <c r="M23" s="344"/>
    </row>
    <row r="24" spans="1:15" x14ac:dyDescent="0.2">
      <c r="D24" s="3"/>
      <c r="F24" s="3"/>
      <c r="L24" s="3"/>
      <c r="M24" s="1152"/>
    </row>
    <row r="25" spans="1:15" ht="15" x14ac:dyDescent="0.25">
      <c r="C25" s="803"/>
    </row>
  </sheetData>
  <mergeCells count="20">
    <mergeCell ref="B15:C15"/>
    <mergeCell ref="A2:N2"/>
    <mergeCell ref="A6:A7"/>
    <mergeCell ref="D6:E6"/>
    <mergeCell ref="F6:H6"/>
    <mergeCell ref="I6:L6"/>
    <mergeCell ref="M6:M7"/>
    <mergeCell ref="B12:C12"/>
    <mergeCell ref="B14:C14"/>
    <mergeCell ref="B13:C13"/>
    <mergeCell ref="N6:N7"/>
    <mergeCell ref="B6:C7"/>
    <mergeCell ref="B11:C11"/>
    <mergeCell ref="B9:C9"/>
    <mergeCell ref="B10:C10"/>
    <mergeCell ref="B17:C17"/>
    <mergeCell ref="B20:C20"/>
    <mergeCell ref="B18:C18"/>
    <mergeCell ref="B19:C19"/>
    <mergeCell ref="B16:C16"/>
  </mergeCells>
  <printOptions horizontalCentered="1"/>
  <pageMargins left="0.59055118110236227" right="0.59055118110236227" top="0.78740157480314965" bottom="0.59055118110236227" header="0.59055118110236227" footer="0.59055118110236227"/>
  <pageSetup paperSize="9" scale="65" fitToHeight="0"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W33"/>
  <sheetViews>
    <sheetView workbookViewId="0"/>
  </sheetViews>
  <sheetFormatPr defaultRowHeight="12.75" x14ac:dyDescent="0.2"/>
  <cols>
    <col min="1" max="1" width="7.7109375" style="1" customWidth="1"/>
    <col min="2" max="2" width="6.7109375" style="1" customWidth="1"/>
    <col min="3" max="3" width="40.7109375" style="1" customWidth="1"/>
    <col min="4" max="4" width="14.7109375" style="2" customWidth="1"/>
    <col min="5" max="5" width="14.7109375" style="3" customWidth="1"/>
    <col min="6" max="6" width="14.7109375" style="2" customWidth="1"/>
    <col min="7" max="7" width="16.42578125" style="3" customWidth="1"/>
    <col min="8" max="9" width="14.7109375" style="3" customWidth="1"/>
    <col min="10" max="10" width="15.42578125" style="3" customWidth="1"/>
    <col min="11" max="11" width="14.7109375" style="3" customWidth="1"/>
    <col min="12" max="12" width="14.7109375" style="787" customWidth="1"/>
    <col min="13" max="14" width="9.7109375" style="5" customWidth="1"/>
    <col min="15" max="15" width="9.42578125" style="1" customWidth="1"/>
    <col min="16" max="257" width="9.140625" style="1"/>
    <col min="258" max="258" width="6.7109375" style="1" customWidth="1"/>
    <col min="259" max="259" width="41.5703125" style="1" customWidth="1"/>
    <col min="260" max="267" width="14.7109375" style="1" customWidth="1"/>
    <col min="268" max="268" width="16.7109375" style="1" customWidth="1"/>
    <col min="269" max="270" width="7.4257812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6" width="7.4257812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2" width="7.4257812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8" width="7.4257812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4" width="7.4257812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50" width="7.4257812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6" width="7.4257812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2" width="7.4257812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8" width="7.4257812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4" width="7.4257812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30" width="7.4257812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6" width="7.4257812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2" width="7.4257812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8" width="7.4257812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4" width="7.4257812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10" width="7.4257812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6" width="7.4257812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2" width="7.4257812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8" width="7.4257812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4" width="7.4257812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90" width="7.4257812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6" width="7.4257812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2" width="7.4257812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8" width="7.4257812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4" width="7.4257812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70" width="7.4257812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6" width="7.4257812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2" width="7.4257812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8" width="7.4257812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4" width="7.4257812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50" width="7.4257812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6" width="7.4257812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2" width="7.4257812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8" width="7.4257812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4" width="7.4257812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30" width="7.4257812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6" width="7.4257812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2" width="7.4257812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8" width="7.4257812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4" width="7.4257812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10" width="7.4257812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6" width="7.4257812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2" width="7.4257812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8" width="7.4257812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4" width="7.4257812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90" width="7.4257812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6" width="7.4257812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2" width="7.4257812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8" width="7.4257812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4" width="7.4257812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70" width="7.4257812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6" width="7.4257812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2" width="7.4257812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8" width="7.4257812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4" width="7.4257812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50" width="7.4257812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6" width="7.4257812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2" width="7.4257812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8" width="7.4257812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4" width="7.4257812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30" width="7.4257812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6" width="7.4257812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2" width="7.42578125" style="1" customWidth="1"/>
    <col min="16143" max="16384" width="9.140625" style="1"/>
  </cols>
  <sheetData>
    <row r="1" spans="1:23" ht="15" customHeight="1" x14ac:dyDescent="0.25">
      <c r="N1" s="6"/>
    </row>
    <row r="2" spans="1:23" ht="20.100000000000001" customHeight="1" x14ac:dyDescent="0.35">
      <c r="A2" s="1303" t="s">
        <v>508</v>
      </c>
      <c r="B2" s="1196"/>
      <c r="C2" s="1196"/>
      <c r="D2" s="1196"/>
      <c r="E2" s="1196"/>
      <c r="F2" s="1196"/>
      <c r="G2" s="1196"/>
      <c r="H2" s="1196"/>
      <c r="I2" s="1196"/>
      <c r="J2" s="1196"/>
      <c r="K2" s="1196"/>
      <c r="L2" s="1196"/>
      <c r="M2" s="1196"/>
      <c r="N2" s="1304"/>
    </row>
    <row r="3" spans="1:23" ht="15" customHeight="1" x14ac:dyDescent="0.2"/>
    <row r="4" spans="1:23" ht="20.100000000000001" customHeight="1" x14ac:dyDescent="0.3">
      <c r="A4" s="7" t="s">
        <v>182</v>
      </c>
      <c r="M4" s="8"/>
    </row>
    <row r="5" spans="1:23" ht="15" customHeight="1" thickBot="1" x14ac:dyDescent="0.35">
      <c r="A5" s="7"/>
      <c r="N5" s="8" t="s">
        <v>0</v>
      </c>
    </row>
    <row r="6" spans="1:23" s="62" customFormat="1" ht="15.7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23"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23" s="9" customFormat="1" ht="20.100000000000001" customHeight="1" thickBot="1" x14ac:dyDescent="0.3">
      <c r="B8" s="10" t="s">
        <v>104</v>
      </c>
      <c r="C8" s="10"/>
      <c r="D8" s="11"/>
      <c r="E8" s="12"/>
      <c r="F8" s="14"/>
      <c r="G8" s="13"/>
      <c r="H8" s="13"/>
      <c r="I8" s="13"/>
      <c r="J8" s="13"/>
      <c r="K8" s="13"/>
      <c r="L8" s="13"/>
      <c r="M8" s="16"/>
      <c r="N8" s="16"/>
    </row>
    <row r="9" spans="1:23" ht="30" customHeight="1" x14ac:dyDescent="0.2">
      <c r="A9" s="491">
        <v>2115</v>
      </c>
      <c r="B9" s="1301" t="s">
        <v>522</v>
      </c>
      <c r="C9" s="1302"/>
      <c r="D9" s="497">
        <v>0</v>
      </c>
      <c r="E9" s="492">
        <v>0</v>
      </c>
      <c r="F9" s="497">
        <v>0</v>
      </c>
      <c r="G9" s="563">
        <v>0</v>
      </c>
      <c r="H9" s="565">
        <v>0</v>
      </c>
      <c r="I9" s="472">
        <v>0</v>
      </c>
      <c r="J9" s="1060">
        <v>0</v>
      </c>
      <c r="K9" s="1067">
        <v>100</v>
      </c>
      <c r="L9" s="961">
        <f t="shared" ref="L9:L16" si="0">SUM(I9:K9)</f>
        <v>100</v>
      </c>
      <c r="M9" s="441" t="s">
        <v>60</v>
      </c>
      <c r="N9" s="442" t="s">
        <v>60</v>
      </c>
      <c r="O9" s="17"/>
    </row>
    <row r="10" spans="1:23" ht="20.100000000000001" customHeight="1" x14ac:dyDescent="0.2">
      <c r="A10" s="637">
        <v>2143</v>
      </c>
      <c r="B10" s="1324" t="s">
        <v>183</v>
      </c>
      <c r="C10" s="1325"/>
      <c r="D10" s="567">
        <v>1200</v>
      </c>
      <c r="E10" s="559">
        <v>1185.5999999999999</v>
      </c>
      <c r="F10" s="567">
        <v>1500</v>
      </c>
      <c r="G10" s="564">
        <v>2000</v>
      </c>
      <c r="H10" s="550">
        <v>1808.55</v>
      </c>
      <c r="I10" s="897">
        <v>0</v>
      </c>
      <c r="J10" s="635">
        <v>0</v>
      </c>
      <c r="K10" s="1068">
        <v>2000</v>
      </c>
      <c r="L10" s="1020">
        <f t="shared" si="0"/>
        <v>2000</v>
      </c>
      <c r="M10" s="900">
        <f t="shared" ref="M10" si="1">L10/F10*100</f>
        <v>133.33333333333331</v>
      </c>
      <c r="N10" s="452">
        <f t="shared" ref="N10:N16" si="2">L10/G10*100</f>
        <v>100</v>
      </c>
      <c r="O10" s="17"/>
    </row>
    <row r="11" spans="1:23" ht="20.100000000000001" customHeight="1" x14ac:dyDescent="0.2">
      <c r="A11" s="1299">
        <v>2223</v>
      </c>
      <c r="B11" s="1324" t="s">
        <v>191</v>
      </c>
      <c r="C11" s="1325"/>
      <c r="D11" s="567">
        <v>0</v>
      </c>
      <c r="E11" s="559">
        <v>28.91</v>
      </c>
      <c r="F11" s="567">
        <v>0</v>
      </c>
      <c r="G11" s="564">
        <v>481.2</v>
      </c>
      <c r="H11" s="550">
        <v>31.5</v>
      </c>
      <c r="I11" s="897">
        <v>0</v>
      </c>
      <c r="J11" s="635">
        <v>0</v>
      </c>
      <c r="K11" s="1068">
        <v>0</v>
      </c>
      <c r="L11" s="1020">
        <f t="shared" si="0"/>
        <v>0</v>
      </c>
      <c r="M11" s="900" t="s">
        <v>60</v>
      </c>
      <c r="N11" s="452">
        <f t="shared" si="2"/>
        <v>0</v>
      </c>
      <c r="O11" s="17"/>
    </row>
    <row r="12" spans="1:23" ht="15" customHeight="1" x14ac:dyDescent="0.2">
      <c r="A12" s="1321"/>
      <c r="B12" s="996" t="s">
        <v>96</v>
      </c>
      <c r="C12" s="638" t="s">
        <v>151</v>
      </c>
      <c r="D12" s="80">
        <v>0</v>
      </c>
      <c r="E12" s="98">
        <v>0</v>
      </c>
      <c r="F12" s="94">
        <v>0</v>
      </c>
      <c r="G12" s="867">
        <v>481.2</v>
      </c>
      <c r="H12" s="868">
        <v>31.5</v>
      </c>
      <c r="I12" s="1008">
        <v>0</v>
      </c>
      <c r="J12" s="1009">
        <v>0</v>
      </c>
      <c r="K12" s="1010">
        <v>0</v>
      </c>
      <c r="L12" s="1011">
        <f>SUM(I12:K12)</f>
        <v>0</v>
      </c>
      <c r="M12" s="78" t="s">
        <v>60</v>
      </c>
      <c r="N12" s="79">
        <f t="shared" si="2"/>
        <v>0</v>
      </c>
      <c r="O12" s="17"/>
    </row>
    <row r="13" spans="1:23" s="65" customFormat="1" ht="29.25" customHeight="1" x14ac:dyDescent="0.25">
      <c r="A13" s="1299">
        <v>2510</v>
      </c>
      <c r="B13" s="1293" t="s">
        <v>198</v>
      </c>
      <c r="C13" s="1294"/>
      <c r="D13" s="567">
        <f>SUM(D14:D17)</f>
        <v>27520</v>
      </c>
      <c r="E13" s="559">
        <f t="shared" ref="E13:K13" si="3">SUM(E14:E17)</f>
        <v>27520</v>
      </c>
      <c r="F13" s="567">
        <f t="shared" si="3"/>
        <v>28220</v>
      </c>
      <c r="G13" s="564">
        <f t="shared" si="3"/>
        <v>28220</v>
      </c>
      <c r="H13" s="550">
        <f t="shared" si="3"/>
        <v>21164.940000000002</v>
      </c>
      <c r="I13" s="897">
        <f t="shared" si="3"/>
        <v>25192</v>
      </c>
      <c r="J13" s="635">
        <f t="shared" si="3"/>
        <v>0</v>
      </c>
      <c r="K13" s="1068">
        <f t="shared" si="3"/>
        <v>2948</v>
      </c>
      <c r="L13" s="962">
        <f t="shared" si="0"/>
        <v>28140</v>
      </c>
      <c r="M13" s="487">
        <f t="shared" ref="M13:M17" si="4">L13/F13*100</f>
        <v>99.716513111268597</v>
      </c>
      <c r="N13" s="460">
        <f t="shared" si="2"/>
        <v>99.716513111268597</v>
      </c>
      <c r="O13" s="121"/>
      <c r="P13" s="121"/>
      <c r="Q13" s="121"/>
      <c r="R13" s="121"/>
      <c r="S13" s="121"/>
      <c r="T13" s="121"/>
      <c r="U13" s="121"/>
      <c r="V13" s="121"/>
      <c r="W13" s="121"/>
    </row>
    <row r="14" spans="1:23" s="63" customFormat="1" ht="15" customHeight="1" x14ac:dyDescent="0.2">
      <c r="A14" s="1300"/>
      <c r="B14" s="1318" t="s">
        <v>96</v>
      </c>
      <c r="C14" s="638" t="s">
        <v>138</v>
      </c>
      <c r="D14" s="94">
        <v>127</v>
      </c>
      <c r="E14" s="93">
        <v>127</v>
      </c>
      <c r="F14" s="94">
        <v>48</v>
      </c>
      <c r="G14" s="81">
        <v>48</v>
      </c>
      <c r="H14" s="95">
        <v>36</v>
      </c>
      <c r="I14" s="83">
        <v>48</v>
      </c>
      <c r="J14" s="1014">
        <v>0</v>
      </c>
      <c r="K14" s="1061">
        <v>0</v>
      </c>
      <c r="L14" s="1011">
        <f t="shared" si="0"/>
        <v>48</v>
      </c>
      <c r="M14" s="92">
        <f>L14/F14*100</f>
        <v>100</v>
      </c>
      <c r="N14" s="79">
        <f t="shared" si="2"/>
        <v>100</v>
      </c>
    </row>
    <row r="15" spans="1:23" s="63" customFormat="1" ht="15" customHeight="1" x14ac:dyDescent="0.2">
      <c r="A15" s="1300"/>
      <c r="B15" s="1319"/>
      <c r="C15" s="638" t="s">
        <v>137</v>
      </c>
      <c r="D15" s="94">
        <v>4955</v>
      </c>
      <c r="E15" s="93">
        <v>4530</v>
      </c>
      <c r="F15" s="94">
        <v>4804</v>
      </c>
      <c r="G15" s="81">
        <v>4804</v>
      </c>
      <c r="H15" s="95">
        <v>3602.97</v>
      </c>
      <c r="I15" s="1069">
        <v>4590</v>
      </c>
      <c r="J15" s="1040">
        <v>0</v>
      </c>
      <c r="K15" s="1061">
        <v>0</v>
      </c>
      <c r="L15" s="1011">
        <f t="shared" si="0"/>
        <v>4590</v>
      </c>
      <c r="M15" s="92">
        <f>L15/F15*100</f>
        <v>95.545378850957547</v>
      </c>
      <c r="N15" s="79">
        <f t="shared" si="2"/>
        <v>95.545378850957547</v>
      </c>
    </row>
    <row r="16" spans="1:23" s="63" customFormat="1" ht="15" customHeight="1" x14ac:dyDescent="0.2">
      <c r="A16" s="1300"/>
      <c r="B16" s="1319"/>
      <c r="C16" s="638" t="s">
        <v>414</v>
      </c>
      <c r="D16" s="877">
        <v>0</v>
      </c>
      <c r="E16" s="82">
        <v>350</v>
      </c>
      <c r="F16" s="94">
        <v>276</v>
      </c>
      <c r="G16" s="81">
        <v>276</v>
      </c>
      <c r="H16" s="95">
        <v>207</v>
      </c>
      <c r="I16" s="83">
        <v>192</v>
      </c>
      <c r="J16" s="1014">
        <v>0</v>
      </c>
      <c r="K16" s="1061">
        <v>0</v>
      </c>
      <c r="L16" s="1011">
        <f t="shared" si="0"/>
        <v>192</v>
      </c>
      <c r="M16" s="92">
        <f>L16/F16*100</f>
        <v>69.565217391304344</v>
      </c>
      <c r="N16" s="79">
        <f t="shared" si="2"/>
        <v>69.565217391304344</v>
      </c>
    </row>
    <row r="17" spans="1:15" s="63" customFormat="1" ht="15" customHeight="1" x14ac:dyDescent="0.2">
      <c r="A17" s="1300"/>
      <c r="B17" s="1319"/>
      <c r="C17" s="638" t="s">
        <v>376</v>
      </c>
      <c r="D17" s="94">
        <v>22438</v>
      </c>
      <c r="E17" s="93">
        <v>22513</v>
      </c>
      <c r="F17" s="94">
        <v>23092</v>
      </c>
      <c r="G17" s="81">
        <v>23092</v>
      </c>
      <c r="H17" s="95">
        <v>17318.97</v>
      </c>
      <c r="I17" s="83">
        <v>20362</v>
      </c>
      <c r="J17" s="1014">
        <v>0</v>
      </c>
      <c r="K17" s="1061">
        <v>2948</v>
      </c>
      <c r="L17" s="1011">
        <f t="shared" ref="L17:L29" si="5">SUM(I17:K17)</f>
        <v>23310</v>
      </c>
      <c r="M17" s="92">
        <f t="shared" si="4"/>
        <v>100.94404988740689</v>
      </c>
      <c r="N17" s="79">
        <f t="shared" ref="N17:N30" si="6">L17/G17*100</f>
        <v>100.94404988740689</v>
      </c>
    </row>
    <row r="18" spans="1:15" s="63" customFormat="1" ht="20.100000000000001" customHeight="1" x14ac:dyDescent="0.2">
      <c r="A18" s="489">
        <v>2510</v>
      </c>
      <c r="B18" s="1293" t="s">
        <v>189</v>
      </c>
      <c r="C18" s="1294"/>
      <c r="D18" s="512">
        <v>42922</v>
      </c>
      <c r="E18" s="473">
        <v>42922</v>
      </c>
      <c r="F18" s="512">
        <v>44381</v>
      </c>
      <c r="G18" s="516">
        <v>44381</v>
      </c>
      <c r="H18" s="517">
        <v>44381</v>
      </c>
      <c r="I18" s="512">
        <v>45575</v>
      </c>
      <c r="J18" s="834">
        <v>0</v>
      </c>
      <c r="K18" s="1062">
        <v>0</v>
      </c>
      <c r="L18" s="962">
        <f t="shared" ref="L18:L22" si="7">SUM(I18:K18)</f>
        <v>45575</v>
      </c>
      <c r="M18" s="487">
        <f t="shared" ref="M18" si="8">L18/F18*100</f>
        <v>102.69034046100809</v>
      </c>
      <c r="N18" s="460">
        <f t="shared" ref="N18" si="9">L18/G18*100</f>
        <v>102.69034046100809</v>
      </c>
    </row>
    <row r="19" spans="1:15" s="63" customFormat="1" ht="30" customHeight="1" x14ac:dyDescent="0.2">
      <c r="A19" s="489">
        <v>2510</v>
      </c>
      <c r="B19" s="1293" t="s">
        <v>523</v>
      </c>
      <c r="C19" s="1294"/>
      <c r="D19" s="635">
        <v>0</v>
      </c>
      <c r="E19" s="559">
        <v>0</v>
      </c>
      <c r="F19" s="635">
        <v>0</v>
      </c>
      <c r="G19" s="564">
        <v>0</v>
      </c>
      <c r="H19" s="550">
        <v>0</v>
      </c>
      <c r="I19" s="897">
        <v>5</v>
      </c>
      <c r="J19" s="513">
        <v>0</v>
      </c>
      <c r="K19" s="1068">
        <v>0</v>
      </c>
      <c r="L19" s="962">
        <f t="shared" si="7"/>
        <v>5</v>
      </c>
      <c r="M19" s="487" t="s">
        <v>60</v>
      </c>
      <c r="N19" s="460" t="s">
        <v>60</v>
      </c>
    </row>
    <row r="20" spans="1:15" s="63" customFormat="1" ht="20.100000000000001" customHeight="1" x14ac:dyDescent="0.2">
      <c r="A20" s="489">
        <v>2510</v>
      </c>
      <c r="B20" s="1293" t="s">
        <v>486</v>
      </c>
      <c r="C20" s="1294"/>
      <c r="D20" s="635">
        <v>0</v>
      </c>
      <c r="E20" s="559">
        <v>3628.59</v>
      </c>
      <c r="F20" s="635">
        <v>0</v>
      </c>
      <c r="G20" s="564">
        <v>2256.1799999999998</v>
      </c>
      <c r="H20" s="550">
        <v>0</v>
      </c>
      <c r="I20" s="897">
        <v>0</v>
      </c>
      <c r="J20" s="513">
        <v>0</v>
      </c>
      <c r="K20" s="1068">
        <v>0</v>
      </c>
      <c r="L20" s="962">
        <f t="shared" si="7"/>
        <v>0</v>
      </c>
      <c r="M20" s="487" t="s">
        <v>60</v>
      </c>
      <c r="N20" s="460">
        <f t="shared" ref="N20:N29" si="10">L20/G20*100</f>
        <v>0</v>
      </c>
    </row>
    <row r="21" spans="1:15" s="63" customFormat="1" ht="51" customHeight="1" x14ac:dyDescent="0.2">
      <c r="A21" s="637">
        <v>3299</v>
      </c>
      <c r="B21" s="1293" t="s">
        <v>500</v>
      </c>
      <c r="C21" s="1294"/>
      <c r="D21" s="635">
        <v>0</v>
      </c>
      <c r="E21" s="559">
        <v>205.72</v>
      </c>
      <c r="F21" s="635">
        <v>0</v>
      </c>
      <c r="G21" s="564">
        <v>0</v>
      </c>
      <c r="H21" s="550">
        <v>0</v>
      </c>
      <c r="I21" s="897">
        <v>0</v>
      </c>
      <c r="J21" s="513">
        <v>0</v>
      </c>
      <c r="K21" s="1068">
        <v>0</v>
      </c>
      <c r="L21" s="962">
        <f t="shared" si="7"/>
        <v>0</v>
      </c>
      <c r="M21" s="487" t="s">
        <v>60</v>
      </c>
      <c r="N21" s="460" t="s">
        <v>60</v>
      </c>
    </row>
    <row r="22" spans="1:15" s="63" customFormat="1" ht="54.75" customHeight="1" x14ac:dyDescent="0.2">
      <c r="A22" s="637">
        <v>3636</v>
      </c>
      <c r="B22" s="1293" t="s">
        <v>551</v>
      </c>
      <c r="C22" s="1294"/>
      <c r="D22" s="635">
        <v>0</v>
      </c>
      <c r="E22" s="559">
        <v>0</v>
      </c>
      <c r="F22" s="635">
        <v>0</v>
      </c>
      <c r="G22" s="564">
        <v>800</v>
      </c>
      <c r="H22" s="550">
        <v>800</v>
      </c>
      <c r="I22" s="897">
        <v>0</v>
      </c>
      <c r="J22" s="513">
        <v>0</v>
      </c>
      <c r="K22" s="1068">
        <v>0</v>
      </c>
      <c r="L22" s="962">
        <f t="shared" si="7"/>
        <v>0</v>
      </c>
      <c r="M22" s="487" t="s">
        <v>60</v>
      </c>
      <c r="N22" s="460">
        <f t="shared" si="10"/>
        <v>0</v>
      </c>
    </row>
    <row r="23" spans="1:15" s="63" customFormat="1" ht="31.5" customHeight="1" x14ac:dyDescent="0.2">
      <c r="A23" s="637">
        <v>3713</v>
      </c>
      <c r="B23" s="1293" t="s">
        <v>304</v>
      </c>
      <c r="C23" s="1294"/>
      <c r="D23" s="567">
        <v>260</v>
      </c>
      <c r="E23" s="559">
        <v>0</v>
      </c>
      <c r="F23" s="567">
        <v>0</v>
      </c>
      <c r="G23" s="449">
        <v>492.95</v>
      </c>
      <c r="H23" s="550">
        <v>0</v>
      </c>
      <c r="I23" s="897">
        <v>0</v>
      </c>
      <c r="J23" s="513">
        <v>0</v>
      </c>
      <c r="K23" s="1068">
        <v>0</v>
      </c>
      <c r="L23" s="962">
        <f t="shared" si="5"/>
        <v>0</v>
      </c>
      <c r="M23" s="487" t="s">
        <v>60</v>
      </c>
      <c r="N23" s="460">
        <f t="shared" si="10"/>
        <v>0</v>
      </c>
    </row>
    <row r="24" spans="1:15" s="63" customFormat="1" ht="20.100000000000001" customHeight="1" x14ac:dyDescent="0.2">
      <c r="A24" s="637">
        <v>3714</v>
      </c>
      <c r="B24" s="1293" t="s">
        <v>552</v>
      </c>
      <c r="C24" s="1294"/>
      <c r="D24" s="567">
        <v>0</v>
      </c>
      <c r="E24" s="559">
        <v>0</v>
      </c>
      <c r="F24" s="567">
        <v>0</v>
      </c>
      <c r="G24" s="449">
        <v>200</v>
      </c>
      <c r="H24" s="550">
        <v>0</v>
      </c>
      <c r="I24" s="897">
        <v>0</v>
      </c>
      <c r="J24" s="513">
        <v>0</v>
      </c>
      <c r="K24" s="1068">
        <v>0</v>
      </c>
      <c r="L24" s="962">
        <f t="shared" si="5"/>
        <v>0</v>
      </c>
      <c r="M24" s="487" t="s">
        <v>60</v>
      </c>
      <c r="N24" s="460">
        <f t="shared" si="10"/>
        <v>0</v>
      </c>
    </row>
    <row r="25" spans="1:15" s="63" customFormat="1" ht="20.100000000000001" customHeight="1" x14ac:dyDescent="0.2">
      <c r="A25" s="637">
        <v>6172</v>
      </c>
      <c r="B25" s="1381" t="s">
        <v>412</v>
      </c>
      <c r="C25" s="1382"/>
      <c r="D25" s="567">
        <v>2250</v>
      </c>
      <c r="E25" s="559">
        <v>1851.3</v>
      </c>
      <c r="F25" s="567">
        <v>2250</v>
      </c>
      <c r="G25" s="449">
        <v>2739.45</v>
      </c>
      <c r="H25" s="550">
        <v>1631.68</v>
      </c>
      <c r="I25" s="897">
        <v>400</v>
      </c>
      <c r="J25" s="513">
        <v>0</v>
      </c>
      <c r="K25" s="1068">
        <v>0</v>
      </c>
      <c r="L25" s="962">
        <f t="shared" si="5"/>
        <v>400</v>
      </c>
      <c r="M25" s="487">
        <f t="shared" ref="M25:M29" si="11">L25/F25*100</f>
        <v>17.777777777777779</v>
      </c>
      <c r="N25" s="460">
        <f t="shared" si="10"/>
        <v>14.601471098213144</v>
      </c>
    </row>
    <row r="26" spans="1:15" s="63" customFormat="1" ht="48" customHeight="1" x14ac:dyDescent="0.2">
      <c r="A26" s="637">
        <v>6172</v>
      </c>
      <c r="B26" s="1381" t="s">
        <v>545</v>
      </c>
      <c r="C26" s="1382"/>
      <c r="D26" s="567">
        <v>0</v>
      </c>
      <c r="E26" s="559">
        <v>0</v>
      </c>
      <c r="F26" s="567">
        <v>0</v>
      </c>
      <c r="G26" s="449">
        <v>0</v>
      </c>
      <c r="H26" s="550">
        <v>0</v>
      </c>
      <c r="I26" s="897">
        <v>1059</v>
      </c>
      <c r="J26" s="513">
        <v>0</v>
      </c>
      <c r="K26" s="1068">
        <v>0</v>
      </c>
      <c r="L26" s="962">
        <f t="shared" si="5"/>
        <v>1059</v>
      </c>
      <c r="M26" s="487" t="s">
        <v>60</v>
      </c>
      <c r="N26" s="460" t="s">
        <v>60</v>
      </c>
    </row>
    <row r="27" spans="1:15" s="63" customFormat="1" ht="20.100000000000001" customHeight="1" x14ac:dyDescent="0.2">
      <c r="A27" s="637">
        <v>6172</v>
      </c>
      <c r="B27" s="1381" t="s">
        <v>524</v>
      </c>
      <c r="C27" s="1382"/>
      <c r="D27" s="567">
        <v>0</v>
      </c>
      <c r="E27" s="559">
        <v>16.09</v>
      </c>
      <c r="F27" s="567">
        <v>0</v>
      </c>
      <c r="G27" s="449">
        <v>0</v>
      </c>
      <c r="H27" s="550">
        <v>0</v>
      </c>
      <c r="I27" s="897">
        <v>0</v>
      </c>
      <c r="J27" s="513">
        <v>0</v>
      </c>
      <c r="K27" s="1068">
        <v>20</v>
      </c>
      <c r="L27" s="962">
        <f t="shared" si="5"/>
        <v>20</v>
      </c>
      <c r="M27" s="487" t="s">
        <v>60</v>
      </c>
      <c r="N27" s="460" t="s">
        <v>60</v>
      </c>
    </row>
    <row r="28" spans="1:15" s="63" customFormat="1" ht="20.100000000000001" customHeight="1" x14ac:dyDescent="0.2">
      <c r="A28" s="637">
        <v>6172</v>
      </c>
      <c r="B28" s="1381" t="s">
        <v>487</v>
      </c>
      <c r="C28" s="1382"/>
      <c r="D28" s="567">
        <v>0</v>
      </c>
      <c r="E28" s="559">
        <v>87.12</v>
      </c>
      <c r="F28" s="567">
        <v>0</v>
      </c>
      <c r="G28" s="449">
        <v>1155.19</v>
      </c>
      <c r="H28" s="550">
        <v>65.34</v>
      </c>
      <c r="I28" s="897">
        <v>0</v>
      </c>
      <c r="J28" s="513">
        <v>0</v>
      </c>
      <c r="K28" s="1068">
        <v>0</v>
      </c>
      <c r="L28" s="962">
        <f t="shared" si="5"/>
        <v>0</v>
      </c>
      <c r="M28" s="487" t="s">
        <v>60</v>
      </c>
      <c r="N28" s="460">
        <f t="shared" si="10"/>
        <v>0</v>
      </c>
    </row>
    <row r="29" spans="1:15" s="63" customFormat="1" ht="20.100000000000001" customHeight="1" thickBot="1" x14ac:dyDescent="0.25">
      <c r="A29" s="637">
        <v>6172</v>
      </c>
      <c r="B29" s="1293" t="s">
        <v>497</v>
      </c>
      <c r="C29" s="1294"/>
      <c r="D29" s="567">
        <v>100</v>
      </c>
      <c r="E29" s="559">
        <f>150.3</f>
        <v>150.30000000000001</v>
      </c>
      <c r="F29" s="567">
        <v>100</v>
      </c>
      <c r="G29" s="449">
        <v>222.38</v>
      </c>
      <c r="H29" s="550">
        <v>64.63</v>
      </c>
      <c r="I29" s="897">
        <v>0</v>
      </c>
      <c r="J29" s="513">
        <v>0</v>
      </c>
      <c r="K29" s="1068">
        <v>100</v>
      </c>
      <c r="L29" s="962">
        <f t="shared" si="5"/>
        <v>100</v>
      </c>
      <c r="M29" s="487">
        <f t="shared" si="11"/>
        <v>100</v>
      </c>
      <c r="N29" s="460">
        <f t="shared" si="10"/>
        <v>44.968072668405433</v>
      </c>
    </row>
    <row r="30" spans="1:15" s="19" customFormat="1" ht="20.100000000000001" customHeight="1" thickBot="1" x14ac:dyDescent="0.3">
      <c r="A30" s="180"/>
      <c r="B30" s="401" t="s">
        <v>85</v>
      </c>
      <c r="C30" s="643"/>
      <c r="D30" s="181">
        <f>SUM(D9:D13)+SUM(D18:D29)</f>
        <v>74252</v>
      </c>
      <c r="E30" s="194">
        <f>SUM(E9:E13)+SUM(E18:E29)</f>
        <v>77595.63</v>
      </c>
      <c r="F30" s="181">
        <f>SUM(F9:F13)+SUM(F18:F29)</f>
        <v>76451</v>
      </c>
      <c r="G30" s="183">
        <f>SUM(G9:G11)+G13+SUM(G18:G29)</f>
        <v>82948.349999999991</v>
      </c>
      <c r="H30" s="183">
        <f>SUM(H9:H11)+H13+SUM(H18:H29)</f>
        <v>69947.64</v>
      </c>
      <c r="I30" s="181">
        <f>SUM(I9:I13)+SUM(I18:I29)</f>
        <v>72231</v>
      </c>
      <c r="J30" s="956">
        <f>SUM(J9:J13)+SUM(J18:J29)</f>
        <v>0</v>
      </c>
      <c r="K30" s="191">
        <f>SUM(K9:K13)+SUM(K18:K29)</f>
        <v>5168</v>
      </c>
      <c r="L30" s="981">
        <f>SUM(L9:L13)+SUM(L18:L29)</f>
        <v>77399</v>
      </c>
      <c r="M30" s="192">
        <f>L30/F30*100</f>
        <v>101.24000994100797</v>
      </c>
      <c r="N30" s="185">
        <f t="shared" si="6"/>
        <v>93.309872951059319</v>
      </c>
      <c r="O30" s="18"/>
    </row>
    <row r="31" spans="1:15" x14ac:dyDescent="0.2">
      <c r="A31" s="29"/>
      <c r="L31" s="31"/>
    </row>
    <row r="32" spans="1:15" x14ac:dyDescent="0.2">
      <c r="D32" s="3"/>
      <c r="F32" s="3"/>
      <c r="L32" s="3"/>
      <c r="M32" s="3"/>
      <c r="N32" s="3"/>
    </row>
    <row r="33" spans="4:13" x14ac:dyDescent="0.2">
      <c r="D33" s="3"/>
      <c r="F33" s="3"/>
      <c r="L33" s="3"/>
      <c r="M33" s="1152"/>
    </row>
  </sheetData>
  <mergeCells count="27">
    <mergeCell ref="B28:C28"/>
    <mergeCell ref="B29:C29"/>
    <mergeCell ref="B25:C25"/>
    <mergeCell ref="B20:C20"/>
    <mergeCell ref="B10:C10"/>
    <mergeCell ref="B21:C21"/>
    <mergeCell ref="B19:C19"/>
    <mergeCell ref="B26:C26"/>
    <mergeCell ref="B27:C27"/>
    <mergeCell ref="B23:C23"/>
    <mergeCell ref="B18:C18"/>
    <mergeCell ref="B22:C22"/>
    <mergeCell ref="B24:C24"/>
    <mergeCell ref="A13:A17"/>
    <mergeCell ref="B13:C13"/>
    <mergeCell ref="B14:B17"/>
    <mergeCell ref="B11:C11"/>
    <mergeCell ref="B9:C9"/>
    <mergeCell ref="A11:A12"/>
    <mergeCell ref="A2:N2"/>
    <mergeCell ref="A6:A7"/>
    <mergeCell ref="D6:E6"/>
    <mergeCell ref="F6:H6"/>
    <mergeCell ref="I6:L6"/>
    <mergeCell ref="M6:M7"/>
    <mergeCell ref="N6:N7"/>
    <mergeCell ref="B6:C7"/>
  </mergeCells>
  <printOptions horizontalCentered="1"/>
  <pageMargins left="0.59055118110236227" right="0.59055118110236227" top="0.78740157480314965" bottom="0.78740157480314965" header="0.59055118110236227" footer="0.59055118110236227"/>
  <pageSetup paperSize="9" scale="60"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W27"/>
  <sheetViews>
    <sheetView workbookViewId="0"/>
  </sheetViews>
  <sheetFormatPr defaultRowHeight="12.75" x14ac:dyDescent="0.2"/>
  <cols>
    <col min="1" max="1" width="7.7109375" style="67" customWidth="1"/>
    <col min="2" max="2" width="7.140625" style="67" customWidth="1"/>
    <col min="3" max="3" width="40.7109375" style="67" customWidth="1"/>
    <col min="4" max="4" width="14.7109375" style="72" customWidth="1"/>
    <col min="5" max="5" width="14.7109375" style="147" customWidth="1"/>
    <col min="6" max="6" width="14.7109375" style="72" customWidth="1"/>
    <col min="7" max="7" width="16" style="147" customWidth="1"/>
    <col min="8" max="9" width="14.7109375" style="147" customWidth="1"/>
    <col min="10" max="10" width="15.5703125" style="147" customWidth="1"/>
    <col min="11" max="11" width="14.7109375" style="147" customWidth="1"/>
    <col min="12" max="12" width="14.7109375" style="658" customWidth="1"/>
    <col min="13" max="14" width="9.7109375" style="148" customWidth="1"/>
    <col min="15" max="15" width="10.85546875" style="67" customWidth="1"/>
    <col min="16" max="256" width="9.140625" style="67"/>
    <col min="257" max="257" width="6.7109375" style="67" customWidth="1"/>
    <col min="258" max="258" width="41.5703125" style="67" customWidth="1"/>
    <col min="259" max="266" width="14.7109375" style="67" customWidth="1"/>
    <col min="267" max="267" width="16.7109375" style="67" customWidth="1"/>
    <col min="268" max="269" width="7.42578125" style="67" customWidth="1"/>
    <col min="270" max="512" width="9.140625" style="67"/>
    <col min="513" max="513" width="6.7109375" style="67" customWidth="1"/>
    <col min="514" max="514" width="41.5703125" style="67" customWidth="1"/>
    <col min="515" max="522" width="14.7109375" style="67" customWidth="1"/>
    <col min="523" max="523" width="16.7109375" style="67" customWidth="1"/>
    <col min="524" max="525" width="7.42578125" style="67" customWidth="1"/>
    <col min="526" max="768" width="9.140625" style="67"/>
    <col min="769" max="769" width="6.7109375" style="67" customWidth="1"/>
    <col min="770" max="770" width="41.5703125" style="67" customWidth="1"/>
    <col min="771" max="778" width="14.7109375" style="67" customWidth="1"/>
    <col min="779" max="779" width="16.7109375" style="67" customWidth="1"/>
    <col min="780" max="781" width="7.42578125" style="67" customWidth="1"/>
    <col min="782" max="1024" width="9.140625" style="67"/>
    <col min="1025" max="1025" width="6.7109375" style="67" customWidth="1"/>
    <col min="1026" max="1026" width="41.5703125" style="67" customWidth="1"/>
    <col min="1027" max="1034" width="14.7109375" style="67" customWidth="1"/>
    <col min="1035" max="1035" width="16.7109375" style="67" customWidth="1"/>
    <col min="1036" max="1037" width="7.42578125" style="67" customWidth="1"/>
    <col min="1038" max="1280" width="9.140625" style="67"/>
    <col min="1281" max="1281" width="6.7109375" style="67" customWidth="1"/>
    <col min="1282" max="1282" width="41.5703125" style="67" customWidth="1"/>
    <col min="1283" max="1290" width="14.7109375" style="67" customWidth="1"/>
    <col min="1291" max="1291" width="16.7109375" style="67" customWidth="1"/>
    <col min="1292" max="1293" width="7.42578125" style="67" customWidth="1"/>
    <col min="1294" max="1536" width="9.140625" style="67"/>
    <col min="1537" max="1537" width="6.7109375" style="67" customWidth="1"/>
    <col min="1538" max="1538" width="41.5703125" style="67" customWidth="1"/>
    <col min="1539" max="1546" width="14.7109375" style="67" customWidth="1"/>
    <col min="1547" max="1547" width="16.7109375" style="67" customWidth="1"/>
    <col min="1548" max="1549" width="7.42578125" style="67" customWidth="1"/>
    <col min="1550" max="1792" width="9.140625" style="67"/>
    <col min="1793" max="1793" width="6.7109375" style="67" customWidth="1"/>
    <col min="1794" max="1794" width="41.5703125" style="67" customWidth="1"/>
    <col min="1795" max="1802" width="14.7109375" style="67" customWidth="1"/>
    <col min="1803" max="1803" width="16.7109375" style="67" customWidth="1"/>
    <col min="1804" max="1805" width="7.42578125" style="67" customWidth="1"/>
    <col min="1806" max="2048" width="9.140625" style="67"/>
    <col min="2049" max="2049" width="6.7109375" style="67" customWidth="1"/>
    <col min="2050" max="2050" width="41.5703125" style="67" customWidth="1"/>
    <col min="2051" max="2058" width="14.7109375" style="67" customWidth="1"/>
    <col min="2059" max="2059" width="16.7109375" style="67" customWidth="1"/>
    <col min="2060" max="2061" width="7.42578125" style="67" customWidth="1"/>
    <col min="2062" max="2304" width="9.140625" style="67"/>
    <col min="2305" max="2305" width="6.7109375" style="67" customWidth="1"/>
    <col min="2306" max="2306" width="41.5703125" style="67" customWidth="1"/>
    <col min="2307" max="2314" width="14.7109375" style="67" customWidth="1"/>
    <col min="2315" max="2315" width="16.7109375" style="67" customWidth="1"/>
    <col min="2316" max="2317" width="7.42578125" style="67" customWidth="1"/>
    <col min="2318" max="2560" width="9.140625" style="67"/>
    <col min="2561" max="2561" width="6.7109375" style="67" customWidth="1"/>
    <col min="2562" max="2562" width="41.5703125" style="67" customWidth="1"/>
    <col min="2563" max="2570" width="14.7109375" style="67" customWidth="1"/>
    <col min="2571" max="2571" width="16.7109375" style="67" customWidth="1"/>
    <col min="2572" max="2573" width="7.42578125" style="67" customWidth="1"/>
    <col min="2574" max="2816" width="9.140625" style="67"/>
    <col min="2817" max="2817" width="6.7109375" style="67" customWidth="1"/>
    <col min="2818" max="2818" width="41.5703125" style="67" customWidth="1"/>
    <col min="2819" max="2826" width="14.7109375" style="67" customWidth="1"/>
    <col min="2827" max="2827" width="16.7109375" style="67" customWidth="1"/>
    <col min="2828" max="2829" width="7.42578125" style="67" customWidth="1"/>
    <col min="2830" max="3072" width="9.140625" style="67"/>
    <col min="3073" max="3073" width="6.7109375" style="67" customWidth="1"/>
    <col min="3074" max="3074" width="41.5703125" style="67" customWidth="1"/>
    <col min="3075" max="3082" width="14.7109375" style="67" customWidth="1"/>
    <col min="3083" max="3083" width="16.7109375" style="67" customWidth="1"/>
    <col min="3084" max="3085" width="7.42578125" style="67" customWidth="1"/>
    <col min="3086" max="3328" width="9.140625" style="67"/>
    <col min="3329" max="3329" width="6.7109375" style="67" customWidth="1"/>
    <col min="3330" max="3330" width="41.5703125" style="67" customWidth="1"/>
    <col min="3331" max="3338" width="14.7109375" style="67" customWidth="1"/>
    <col min="3339" max="3339" width="16.7109375" style="67" customWidth="1"/>
    <col min="3340" max="3341" width="7.42578125" style="67" customWidth="1"/>
    <col min="3342" max="3584" width="9.140625" style="67"/>
    <col min="3585" max="3585" width="6.7109375" style="67" customWidth="1"/>
    <col min="3586" max="3586" width="41.5703125" style="67" customWidth="1"/>
    <col min="3587" max="3594" width="14.7109375" style="67" customWidth="1"/>
    <col min="3595" max="3595" width="16.7109375" style="67" customWidth="1"/>
    <col min="3596" max="3597" width="7.42578125" style="67" customWidth="1"/>
    <col min="3598" max="3840" width="9.140625" style="67"/>
    <col min="3841" max="3841" width="6.7109375" style="67" customWidth="1"/>
    <col min="3842" max="3842" width="41.5703125" style="67" customWidth="1"/>
    <col min="3843" max="3850" width="14.7109375" style="67" customWidth="1"/>
    <col min="3851" max="3851" width="16.7109375" style="67" customWidth="1"/>
    <col min="3852" max="3853" width="7.42578125" style="67" customWidth="1"/>
    <col min="3854" max="4096" width="9.140625" style="67"/>
    <col min="4097" max="4097" width="6.7109375" style="67" customWidth="1"/>
    <col min="4098" max="4098" width="41.5703125" style="67" customWidth="1"/>
    <col min="4099" max="4106" width="14.7109375" style="67" customWidth="1"/>
    <col min="4107" max="4107" width="16.7109375" style="67" customWidth="1"/>
    <col min="4108" max="4109" width="7.42578125" style="67" customWidth="1"/>
    <col min="4110" max="4352" width="9.140625" style="67"/>
    <col min="4353" max="4353" width="6.7109375" style="67" customWidth="1"/>
    <col min="4354" max="4354" width="41.5703125" style="67" customWidth="1"/>
    <col min="4355" max="4362" width="14.7109375" style="67" customWidth="1"/>
    <col min="4363" max="4363" width="16.7109375" style="67" customWidth="1"/>
    <col min="4364" max="4365" width="7.42578125" style="67" customWidth="1"/>
    <col min="4366" max="4608" width="9.140625" style="67"/>
    <col min="4609" max="4609" width="6.7109375" style="67" customWidth="1"/>
    <col min="4610" max="4610" width="41.5703125" style="67" customWidth="1"/>
    <col min="4611" max="4618" width="14.7109375" style="67" customWidth="1"/>
    <col min="4619" max="4619" width="16.7109375" style="67" customWidth="1"/>
    <col min="4620" max="4621" width="7.42578125" style="67" customWidth="1"/>
    <col min="4622" max="4864" width="9.140625" style="67"/>
    <col min="4865" max="4865" width="6.7109375" style="67" customWidth="1"/>
    <col min="4866" max="4866" width="41.5703125" style="67" customWidth="1"/>
    <col min="4867" max="4874" width="14.7109375" style="67" customWidth="1"/>
    <col min="4875" max="4875" width="16.7109375" style="67" customWidth="1"/>
    <col min="4876" max="4877" width="7.42578125" style="67" customWidth="1"/>
    <col min="4878" max="5120" width="9.140625" style="67"/>
    <col min="5121" max="5121" width="6.7109375" style="67" customWidth="1"/>
    <col min="5122" max="5122" width="41.5703125" style="67" customWidth="1"/>
    <col min="5123" max="5130" width="14.7109375" style="67" customWidth="1"/>
    <col min="5131" max="5131" width="16.7109375" style="67" customWidth="1"/>
    <col min="5132" max="5133" width="7.42578125" style="67" customWidth="1"/>
    <col min="5134" max="5376" width="9.140625" style="67"/>
    <col min="5377" max="5377" width="6.7109375" style="67" customWidth="1"/>
    <col min="5378" max="5378" width="41.5703125" style="67" customWidth="1"/>
    <col min="5379" max="5386" width="14.7109375" style="67" customWidth="1"/>
    <col min="5387" max="5387" width="16.7109375" style="67" customWidth="1"/>
    <col min="5388" max="5389" width="7.42578125" style="67" customWidth="1"/>
    <col min="5390" max="5632" width="9.140625" style="67"/>
    <col min="5633" max="5633" width="6.7109375" style="67" customWidth="1"/>
    <col min="5634" max="5634" width="41.5703125" style="67" customWidth="1"/>
    <col min="5635" max="5642" width="14.7109375" style="67" customWidth="1"/>
    <col min="5643" max="5643" width="16.7109375" style="67" customWidth="1"/>
    <col min="5644" max="5645" width="7.42578125" style="67" customWidth="1"/>
    <col min="5646" max="5888" width="9.140625" style="67"/>
    <col min="5889" max="5889" width="6.7109375" style="67" customWidth="1"/>
    <col min="5890" max="5890" width="41.5703125" style="67" customWidth="1"/>
    <col min="5891" max="5898" width="14.7109375" style="67" customWidth="1"/>
    <col min="5899" max="5899" width="16.7109375" style="67" customWidth="1"/>
    <col min="5900" max="5901" width="7.42578125" style="67" customWidth="1"/>
    <col min="5902" max="6144" width="9.140625" style="67"/>
    <col min="6145" max="6145" width="6.7109375" style="67" customWidth="1"/>
    <col min="6146" max="6146" width="41.5703125" style="67" customWidth="1"/>
    <col min="6147" max="6154" width="14.7109375" style="67" customWidth="1"/>
    <col min="6155" max="6155" width="16.7109375" style="67" customWidth="1"/>
    <col min="6156" max="6157" width="7.42578125" style="67" customWidth="1"/>
    <col min="6158" max="6400" width="9.140625" style="67"/>
    <col min="6401" max="6401" width="6.7109375" style="67" customWidth="1"/>
    <col min="6402" max="6402" width="41.5703125" style="67" customWidth="1"/>
    <col min="6403" max="6410" width="14.7109375" style="67" customWidth="1"/>
    <col min="6411" max="6411" width="16.7109375" style="67" customWidth="1"/>
    <col min="6412" max="6413" width="7.42578125" style="67" customWidth="1"/>
    <col min="6414" max="6656" width="9.140625" style="67"/>
    <col min="6657" max="6657" width="6.7109375" style="67" customWidth="1"/>
    <col min="6658" max="6658" width="41.5703125" style="67" customWidth="1"/>
    <col min="6659" max="6666" width="14.7109375" style="67" customWidth="1"/>
    <col min="6667" max="6667" width="16.7109375" style="67" customWidth="1"/>
    <col min="6668" max="6669" width="7.42578125" style="67" customWidth="1"/>
    <col min="6670" max="6912" width="9.140625" style="67"/>
    <col min="6913" max="6913" width="6.7109375" style="67" customWidth="1"/>
    <col min="6914" max="6914" width="41.5703125" style="67" customWidth="1"/>
    <col min="6915" max="6922" width="14.7109375" style="67" customWidth="1"/>
    <col min="6923" max="6923" width="16.7109375" style="67" customWidth="1"/>
    <col min="6924" max="6925" width="7.42578125" style="67" customWidth="1"/>
    <col min="6926" max="7168" width="9.140625" style="67"/>
    <col min="7169" max="7169" width="6.7109375" style="67" customWidth="1"/>
    <col min="7170" max="7170" width="41.5703125" style="67" customWidth="1"/>
    <col min="7171" max="7178" width="14.7109375" style="67" customWidth="1"/>
    <col min="7179" max="7179" width="16.7109375" style="67" customWidth="1"/>
    <col min="7180" max="7181" width="7.42578125" style="67" customWidth="1"/>
    <col min="7182" max="7424" width="9.140625" style="67"/>
    <col min="7425" max="7425" width="6.7109375" style="67" customWidth="1"/>
    <col min="7426" max="7426" width="41.5703125" style="67" customWidth="1"/>
    <col min="7427" max="7434" width="14.7109375" style="67" customWidth="1"/>
    <col min="7435" max="7435" width="16.7109375" style="67" customWidth="1"/>
    <col min="7436" max="7437" width="7.42578125" style="67" customWidth="1"/>
    <col min="7438" max="7680" width="9.140625" style="67"/>
    <col min="7681" max="7681" width="6.7109375" style="67" customWidth="1"/>
    <col min="7682" max="7682" width="41.5703125" style="67" customWidth="1"/>
    <col min="7683" max="7690" width="14.7109375" style="67" customWidth="1"/>
    <col min="7691" max="7691" width="16.7109375" style="67" customWidth="1"/>
    <col min="7692" max="7693" width="7.42578125" style="67" customWidth="1"/>
    <col min="7694" max="7936" width="9.140625" style="67"/>
    <col min="7937" max="7937" width="6.7109375" style="67" customWidth="1"/>
    <col min="7938" max="7938" width="41.5703125" style="67" customWidth="1"/>
    <col min="7939" max="7946" width="14.7109375" style="67" customWidth="1"/>
    <col min="7947" max="7947" width="16.7109375" style="67" customWidth="1"/>
    <col min="7948" max="7949" width="7.42578125" style="67" customWidth="1"/>
    <col min="7950" max="8192" width="9.140625" style="67"/>
    <col min="8193" max="8193" width="6.7109375" style="67" customWidth="1"/>
    <col min="8194" max="8194" width="41.5703125" style="67" customWidth="1"/>
    <col min="8195" max="8202" width="14.7109375" style="67" customWidth="1"/>
    <col min="8203" max="8203" width="16.7109375" style="67" customWidth="1"/>
    <col min="8204" max="8205" width="7.42578125" style="67" customWidth="1"/>
    <col min="8206" max="8448" width="9.140625" style="67"/>
    <col min="8449" max="8449" width="6.7109375" style="67" customWidth="1"/>
    <col min="8450" max="8450" width="41.5703125" style="67" customWidth="1"/>
    <col min="8451" max="8458" width="14.7109375" style="67" customWidth="1"/>
    <col min="8459" max="8459" width="16.7109375" style="67" customWidth="1"/>
    <col min="8460" max="8461" width="7.42578125" style="67" customWidth="1"/>
    <col min="8462" max="8704" width="9.140625" style="67"/>
    <col min="8705" max="8705" width="6.7109375" style="67" customWidth="1"/>
    <col min="8706" max="8706" width="41.5703125" style="67" customWidth="1"/>
    <col min="8707" max="8714" width="14.7109375" style="67" customWidth="1"/>
    <col min="8715" max="8715" width="16.7109375" style="67" customWidth="1"/>
    <col min="8716" max="8717" width="7.42578125" style="67" customWidth="1"/>
    <col min="8718" max="8960" width="9.140625" style="67"/>
    <col min="8961" max="8961" width="6.7109375" style="67" customWidth="1"/>
    <col min="8962" max="8962" width="41.5703125" style="67" customWidth="1"/>
    <col min="8963" max="8970" width="14.7109375" style="67" customWidth="1"/>
    <col min="8971" max="8971" width="16.7109375" style="67" customWidth="1"/>
    <col min="8972" max="8973" width="7.42578125" style="67" customWidth="1"/>
    <col min="8974" max="9216" width="9.140625" style="67"/>
    <col min="9217" max="9217" width="6.7109375" style="67" customWidth="1"/>
    <col min="9218" max="9218" width="41.5703125" style="67" customWidth="1"/>
    <col min="9219" max="9226" width="14.7109375" style="67" customWidth="1"/>
    <col min="9227" max="9227" width="16.7109375" style="67" customWidth="1"/>
    <col min="9228" max="9229" width="7.42578125" style="67" customWidth="1"/>
    <col min="9230" max="9472" width="9.140625" style="67"/>
    <col min="9473" max="9473" width="6.7109375" style="67" customWidth="1"/>
    <col min="9474" max="9474" width="41.5703125" style="67" customWidth="1"/>
    <col min="9475" max="9482" width="14.7109375" style="67" customWidth="1"/>
    <col min="9483" max="9483" width="16.7109375" style="67" customWidth="1"/>
    <col min="9484" max="9485" width="7.42578125" style="67" customWidth="1"/>
    <col min="9486" max="9728" width="9.140625" style="67"/>
    <col min="9729" max="9729" width="6.7109375" style="67" customWidth="1"/>
    <col min="9730" max="9730" width="41.5703125" style="67" customWidth="1"/>
    <col min="9731" max="9738" width="14.7109375" style="67" customWidth="1"/>
    <col min="9739" max="9739" width="16.7109375" style="67" customWidth="1"/>
    <col min="9740" max="9741" width="7.42578125" style="67" customWidth="1"/>
    <col min="9742" max="9984" width="9.140625" style="67"/>
    <col min="9985" max="9985" width="6.7109375" style="67" customWidth="1"/>
    <col min="9986" max="9986" width="41.5703125" style="67" customWidth="1"/>
    <col min="9987" max="9994" width="14.7109375" style="67" customWidth="1"/>
    <col min="9995" max="9995" width="16.7109375" style="67" customWidth="1"/>
    <col min="9996" max="9997" width="7.42578125" style="67" customWidth="1"/>
    <col min="9998" max="10240" width="9.140625" style="67"/>
    <col min="10241" max="10241" width="6.7109375" style="67" customWidth="1"/>
    <col min="10242" max="10242" width="41.5703125" style="67" customWidth="1"/>
    <col min="10243" max="10250" width="14.7109375" style="67" customWidth="1"/>
    <col min="10251" max="10251" width="16.7109375" style="67" customWidth="1"/>
    <col min="10252" max="10253" width="7.42578125" style="67" customWidth="1"/>
    <col min="10254" max="10496" width="9.140625" style="67"/>
    <col min="10497" max="10497" width="6.7109375" style="67" customWidth="1"/>
    <col min="10498" max="10498" width="41.5703125" style="67" customWidth="1"/>
    <col min="10499" max="10506" width="14.7109375" style="67" customWidth="1"/>
    <col min="10507" max="10507" width="16.7109375" style="67" customWidth="1"/>
    <col min="10508" max="10509" width="7.42578125" style="67" customWidth="1"/>
    <col min="10510" max="10752" width="9.140625" style="67"/>
    <col min="10753" max="10753" width="6.7109375" style="67" customWidth="1"/>
    <col min="10754" max="10754" width="41.5703125" style="67" customWidth="1"/>
    <col min="10755" max="10762" width="14.7109375" style="67" customWidth="1"/>
    <col min="10763" max="10763" width="16.7109375" style="67" customWidth="1"/>
    <col min="10764" max="10765" width="7.42578125" style="67" customWidth="1"/>
    <col min="10766" max="11008" width="9.140625" style="67"/>
    <col min="11009" max="11009" width="6.7109375" style="67" customWidth="1"/>
    <col min="11010" max="11010" width="41.5703125" style="67" customWidth="1"/>
    <col min="11011" max="11018" width="14.7109375" style="67" customWidth="1"/>
    <col min="11019" max="11019" width="16.7109375" style="67" customWidth="1"/>
    <col min="11020" max="11021" width="7.42578125" style="67" customWidth="1"/>
    <col min="11022" max="11264" width="9.140625" style="67"/>
    <col min="11265" max="11265" width="6.7109375" style="67" customWidth="1"/>
    <col min="11266" max="11266" width="41.5703125" style="67" customWidth="1"/>
    <col min="11267" max="11274" width="14.7109375" style="67" customWidth="1"/>
    <col min="11275" max="11275" width="16.7109375" style="67" customWidth="1"/>
    <col min="11276" max="11277" width="7.42578125" style="67" customWidth="1"/>
    <col min="11278" max="11520" width="9.140625" style="67"/>
    <col min="11521" max="11521" width="6.7109375" style="67" customWidth="1"/>
    <col min="11522" max="11522" width="41.5703125" style="67" customWidth="1"/>
    <col min="11523" max="11530" width="14.7109375" style="67" customWidth="1"/>
    <col min="11531" max="11531" width="16.7109375" style="67" customWidth="1"/>
    <col min="11532" max="11533" width="7.42578125" style="67" customWidth="1"/>
    <col min="11534" max="11776" width="9.140625" style="67"/>
    <col min="11777" max="11777" width="6.7109375" style="67" customWidth="1"/>
    <col min="11778" max="11778" width="41.5703125" style="67" customWidth="1"/>
    <col min="11779" max="11786" width="14.7109375" style="67" customWidth="1"/>
    <col min="11787" max="11787" width="16.7109375" style="67" customWidth="1"/>
    <col min="11788" max="11789" width="7.42578125" style="67" customWidth="1"/>
    <col min="11790" max="12032" width="9.140625" style="67"/>
    <col min="12033" max="12033" width="6.7109375" style="67" customWidth="1"/>
    <col min="12034" max="12034" width="41.5703125" style="67" customWidth="1"/>
    <col min="12035" max="12042" width="14.7109375" style="67" customWidth="1"/>
    <col min="12043" max="12043" width="16.7109375" style="67" customWidth="1"/>
    <col min="12044" max="12045" width="7.42578125" style="67" customWidth="1"/>
    <col min="12046" max="12288" width="9.140625" style="67"/>
    <col min="12289" max="12289" width="6.7109375" style="67" customWidth="1"/>
    <col min="12290" max="12290" width="41.5703125" style="67" customWidth="1"/>
    <col min="12291" max="12298" width="14.7109375" style="67" customWidth="1"/>
    <col min="12299" max="12299" width="16.7109375" style="67" customWidth="1"/>
    <col min="12300" max="12301" width="7.42578125" style="67" customWidth="1"/>
    <col min="12302" max="12544" width="9.140625" style="67"/>
    <col min="12545" max="12545" width="6.7109375" style="67" customWidth="1"/>
    <col min="12546" max="12546" width="41.5703125" style="67" customWidth="1"/>
    <col min="12547" max="12554" width="14.7109375" style="67" customWidth="1"/>
    <col min="12555" max="12555" width="16.7109375" style="67" customWidth="1"/>
    <col min="12556" max="12557" width="7.42578125" style="67" customWidth="1"/>
    <col min="12558" max="12800" width="9.140625" style="67"/>
    <col min="12801" max="12801" width="6.7109375" style="67" customWidth="1"/>
    <col min="12802" max="12802" width="41.5703125" style="67" customWidth="1"/>
    <col min="12803" max="12810" width="14.7109375" style="67" customWidth="1"/>
    <col min="12811" max="12811" width="16.7109375" style="67" customWidth="1"/>
    <col min="12812" max="12813" width="7.42578125" style="67" customWidth="1"/>
    <col min="12814" max="13056" width="9.140625" style="67"/>
    <col min="13057" max="13057" width="6.7109375" style="67" customWidth="1"/>
    <col min="13058" max="13058" width="41.5703125" style="67" customWidth="1"/>
    <col min="13059" max="13066" width="14.7109375" style="67" customWidth="1"/>
    <col min="13067" max="13067" width="16.7109375" style="67" customWidth="1"/>
    <col min="13068" max="13069" width="7.42578125" style="67" customWidth="1"/>
    <col min="13070" max="13312" width="9.140625" style="67"/>
    <col min="13313" max="13313" width="6.7109375" style="67" customWidth="1"/>
    <col min="13314" max="13314" width="41.5703125" style="67" customWidth="1"/>
    <col min="13315" max="13322" width="14.7109375" style="67" customWidth="1"/>
    <col min="13323" max="13323" width="16.7109375" style="67" customWidth="1"/>
    <col min="13324" max="13325" width="7.42578125" style="67" customWidth="1"/>
    <col min="13326" max="13568" width="9.140625" style="67"/>
    <col min="13569" max="13569" width="6.7109375" style="67" customWidth="1"/>
    <col min="13570" max="13570" width="41.5703125" style="67" customWidth="1"/>
    <col min="13571" max="13578" width="14.7109375" style="67" customWidth="1"/>
    <col min="13579" max="13579" width="16.7109375" style="67" customWidth="1"/>
    <col min="13580" max="13581" width="7.42578125" style="67" customWidth="1"/>
    <col min="13582" max="13824" width="9.140625" style="67"/>
    <col min="13825" max="13825" width="6.7109375" style="67" customWidth="1"/>
    <col min="13826" max="13826" width="41.5703125" style="67" customWidth="1"/>
    <col min="13827" max="13834" width="14.7109375" style="67" customWidth="1"/>
    <col min="13835" max="13835" width="16.7109375" style="67" customWidth="1"/>
    <col min="13836" max="13837" width="7.42578125" style="67" customWidth="1"/>
    <col min="13838" max="14080" width="9.140625" style="67"/>
    <col min="14081" max="14081" width="6.7109375" style="67" customWidth="1"/>
    <col min="14082" max="14082" width="41.5703125" style="67" customWidth="1"/>
    <col min="14083" max="14090" width="14.7109375" style="67" customWidth="1"/>
    <col min="14091" max="14091" width="16.7109375" style="67" customWidth="1"/>
    <col min="14092" max="14093" width="7.42578125" style="67" customWidth="1"/>
    <col min="14094" max="14336" width="9.140625" style="67"/>
    <col min="14337" max="14337" width="6.7109375" style="67" customWidth="1"/>
    <col min="14338" max="14338" width="41.5703125" style="67" customWidth="1"/>
    <col min="14339" max="14346" width="14.7109375" style="67" customWidth="1"/>
    <col min="14347" max="14347" width="16.7109375" style="67" customWidth="1"/>
    <col min="14348" max="14349" width="7.42578125" style="67" customWidth="1"/>
    <col min="14350" max="14592" width="9.140625" style="67"/>
    <col min="14593" max="14593" width="6.7109375" style="67" customWidth="1"/>
    <col min="14594" max="14594" width="41.5703125" style="67" customWidth="1"/>
    <col min="14595" max="14602" width="14.7109375" style="67" customWidth="1"/>
    <col min="14603" max="14603" width="16.7109375" style="67" customWidth="1"/>
    <col min="14604" max="14605" width="7.42578125" style="67" customWidth="1"/>
    <col min="14606" max="14848" width="9.140625" style="67"/>
    <col min="14849" max="14849" width="6.7109375" style="67" customWidth="1"/>
    <col min="14850" max="14850" width="41.5703125" style="67" customWidth="1"/>
    <col min="14851" max="14858" width="14.7109375" style="67" customWidth="1"/>
    <col min="14859" max="14859" width="16.7109375" style="67" customWidth="1"/>
    <col min="14860" max="14861" width="7.42578125" style="67" customWidth="1"/>
    <col min="14862" max="15104" width="9.140625" style="67"/>
    <col min="15105" max="15105" width="6.7109375" style="67" customWidth="1"/>
    <col min="15106" max="15106" width="41.5703125" style="67" customWidth="1"/>
    <col min="15107" max="15114" width="14.7109375" style="67" customWidth="1"/>
    <col min="15115" max="15115" width="16.7109375" style="67" customWidth="1"/>
    <col min="15116" max="15117" width="7.42578125" style="67" customWidth="1"/>
    <col min="15118" max="15360" width="9.140625" style="67"/>
    <col min="15361" max="15361" width="6.7109375" style="67" customWidth="1"/>
    <col min="15362" max="15362" width="41.5703125" style="67" customWidth="1"/>
    <col min="15363" max="15370" width="14.7109375" style="67" customWidth="1"/>
    <col min="15371" max="15371" width="16.7109375" style="67" customWidth="1"/>
    <col min="15372" max="15373" width="7.42578125" style="67" customWidth="1"/>
    <col min="15374" max="15616" width="9.140625" style="67"/>
    <col min="15617" max="15617" width="6.7109375" style="67" customWidth="1"/>
    <col min="15618" max="15618" width="41.5703125" style="67" customWidth="1"/>
    <col min="15619" max="15626" width="14.7109375" style="67" customWidth="1"/>
    <col min="15627" max="15627" width="16.7109375" style="67" customWidth="1"/>
    <col min="15628" max="15629" width="7.42578125" style="67" customWidth="1"/>
    <col min="15630" max="15872" width="9.140625" style="67"/>
    <col min="15873" max="15873" width="6.7109375" style="67" customWidth="1"/>
    <col min="15874" max="15874" width="41.5703125" style="67" customWidth="1"/>
    <col min="15875" max="15882" width="14.7109375" style="67" customWidth="1"/>
    <col min="15883" max="15883" width="16.7109375" style="67" customWidth="1"/>
    <col min="15884" max="15885" width="7.42578125" style="67" customWidth="1"/>
    <col min="15886" max="16128" width="9.140625" style="67"/>
    <col min="16129" max="16129" width="6.7109375" style="67" customWidth="1"/>
    <col min="16130" max="16130" width="41.5703125" style="67" customWidth="1"/>
    <col min="16131" max="16138" width="14.7109375" style="67" customWidth="1"/>
    <col min="16139" max="16139" width="16.7109375" style="67" customWidth="1"/>
    <col min="16140" max="16141" width="7.42578125" style="67" customWidth="1"/>
    <col min="16142" max="16384" width="9.140625" style="67"/>
  </cols>
  <sheetData>
    <row r="1" spans="1:23" ht="15" x14ac:dyDescent="0.2">
      <c r="N1" s="149"/>
    </row>
    <row r="2" spans="1:23" ht="20.100000000000001" customHeight="1" x14ac:dyDescent="0.35">
      <c r="A2" s="1303" t="s">
        <v>508</v>
      </c>
      <c r="B2" s="1196"/>
      <c r="C2" s="1196"/>
      <c r="D2" s="1196"/>
      <c r="E2" s="1196"/>
      <c r="F2" s="1196"/>
      <c r="G2" s="1196"/>
      <c r="H2" s="1196"/>
      <c r="I2" s="1196"/>
      <c r="J2" s="1196"/>
      <c r="K2" s="1196"/>
      <c r="L2" s="1196"/>
      <c r="M2" s="1196"/>
      <c r="N2" s="1304"/>
    </row>
    <row r="3" spans="1:23" ht="15" customHeight="1" x14ac:dyDescent="0.2">
      <c r="D3" s="72" t="s">
        <v>181</v>
      </c>
    </row>
    <row r="4" spans="1:23" ht="20.100000000000001" customHeight="1" x14ac:dyDescent="0.2">
      <c r="A4" s="68" t="s">
        <v>153</v>
      </c>
      <c r="M4" s="335"/>
    </row>
    <row r="5" spans="1:23" ht="15" customHeight="1" thickBot="1" x14ac:dyDescent="0.25">
      <c r="A5" s="68"/>
      <c r="N5" s="335" t="s">
        <v>0</v>
      </c>
    </row>
    <row r="6" spans="1:23" s="151" customFormat="1" ht="15.75" customHeight="1" x14ac:dyDescent="0.2">
      <c r="A6" s="1305" t="s">
        <v>88</v>
      </c>
      <c r="B6" s="1314" t="s">
        <v>103</v>
      </c>
      <c r="C6" s="1315"/>
      <c r="D6" s="1198" t="s">
        <v>365</v>
      </c>
      <c r="E6" s="1199"/>
      <c r="F6" s="1198" t="s">
        <v>440</v>
      </c>
      <c r="G6" s="1202"/>
      <c r="H6" s="1199"/>
      <c r="I6" s="1307" t="s">
        <v>507</v>
      </c>
      <c r="J6" s="1308"/>
      <c r="K6" s="1308"/>
      <c r="L6" s="1309"/>
      <c r="M6" s="1310" t="s">
        <v>509</v>
      </c>
      <c r="N6" s="1312" t="s">
        <v>510</v>
      </c>
    </row>
    <row r="7" spans="1:23" s="151" customFormat="1" ht="27" customHeight="1" thickBot="1" x14ac:dyDescent="0.25">
      <c r="A7" s="1306"/>
      <c r="B7" s="1316"/>
      <c r="C7" s="1317"/>
      <c r="D7" s="177" t="s">
        <v>108</v>
      </c>
      <c r="E7" s="178" t="s">
        <v>126</v>
      </c>
      <c r="F7" s="264" t="s">
        <v>109</v>
      </c>
      <c r="G7" s="265" t="s">
        <v>589</v>
      </c>
      <c r="H7" s="266" t="s">
        <v>591</v>
      </c>
      <c r="I7" s="824" t="s">
        <v>124</v>
      </c>
      <c r="J7" s="825" t="s">
        <v>125</v>
      </c>
      <c r="K7" s="826" t="s">
        <v>314</v>
      </c>
      <c r="L7" s="821" t="s">
        <v>85</v>
      </c>
      <c r="M7" s="1311"/>
      <c r="N7" s="1313"/>
    </row>
    <row r="8" spans="1:23" s="69" customFormat="1" ht="20.100000000000001" customHeight="1" thickBot="1" x14ac:dyDescent="0.25">
      <c r="B8" s="336" t="s">
        <v>104</v>
      </c>
      <c r="C8" s="336"/>
      <c r="D8" s="337"/>
      <c r="E8" s="338"/>
      <c r="F8" s="337"/>
      <c r="G8" s="155"/>
      <c r="H8" s="155"/>
      <c r="I8" s="155"/>
      <c r="J8" s="155"/>
      <c r="K8" s="155"/>
      <c r="L8" s="822"/>
      <c r="M8" s="157"/>
      <c r="N8" s="157"/>
    </row>
    <row r="9" spans="1:23" s="470" customFormat="1" ht="30" customHeight="1" x14ac:dyDescent="0.2">
      <c r="A9" s="519">
        <v>1019</v>
      </c>
      <c r="B9" s="1387" t="s">
        <v>154</v>
      </c>
      <c r="C9" s="1388"/>
      <c r="D9" s="436">
        <v>1200</v>
      </c>
      <c r="E9" s="437">
        <v>1294.8399999999999</v>
      </c>
      <c r="F9" s="520">
        <v>1230</v>
      </c>
      <c r="G9" s="439">
        <v>2880</v>
      </c>
      <c r="H9" s="440">
        <v>671.52</v>
      </c>
      <c r="I9" s="472">
        <v>0</v>
      </c>
      <c r="J9" s="438">
        <v>0</v>
      </c>
      <c r="K9" s="1021">
        <v>1230</v>
      </c>
      <c r="L9" s="961">
        <f t="shared" ref="L9:L23" si="0">SUM(I9:K9)</f>
        <v>1230</v>
      </c>
      <c r="M9" s="441">
        <f t="shared" ref="M9:M23" si="1">L9/F9*100</f>
        <v>100</v>
      </c>
      <c r="N9" s="442">
        <f>L9/G9*100</f>
        <v>42.708333333333329</v>
      </c>
      <c r="O9" s="521"/>
      <c r="P9" s="521"/>
      <c r="Q9" s="521"/>
      <c r="R9" s="521"/>
      <c r="S9" s="521"/>
      <c r="T9" s="521"/>
      <c r="U9" s="521"/>
      <c r="V9" s="521"/>
      <c r="W9" s="521"/>
    </row>
    <row r="10" spans="1:23" s="470" customFormat="1" ht="20.100000000000001" customHeight="1" x14ac:dyDescent="0.2">
      <c r="A10" s="951">
        <v>1036</v>
      </c>
      <c r="B10" s="1385" t="s">
        <v>519</v>
      </c>
      <c r="C10" s="1386"/>
      <c r="D10" s="445">
        <v>0</v>
      </c>
      <c r="E10" s="446">
        <v>0</v>
      </c>
      <c r="F10" s="447">
        <v>0</v>
      </c>
      <c r="G10" s="449">
        <v>50</v>
      </c>
      <c r="H10" s="450">
        <v>50</v>
      </c>
      <c r="I10" s="897">
        <v>0</v>
      </c>
      <c r="J10" s="513">
        <v>0</v>
      </c>
      <c r="K10" s="1057">
        <v>0</v>
      </c>
      <c r="L10" s="962">
        <f t="shared" ref="L10" si="2">SUM(I10:K10)</f>
        <v>0</v>
      </c>
      <c r="M10" s="459" t="s">
        <v>60</v>
      </c>
      <c r="N10" s="460">
        <f t="shared" ref="N10" si="3">L10/G10*100</f>
        <v>0</v>
      </c>
      <c r="O10" s="521"/>
      <c r="P10" s="521"/>
      <c r="Q10" s="521"/>
      <c r="R10" s="521"/>
      <c r="S10" s="521"/>
      <c r="T10" s="521"/>
      <c r="U10" s="521"/>
      <c r="V10" s="521"/>
      <c r="W10" s="521"/>
    </row>
    <row r="11" spans="1:23" s="524" customFormat="1" ht="20.100000000000001" customHeight="1" x14ac:dyDescent="0.2">
      <c r="A11" s="522">
        <v>1070</v>
      </c>
      <c r="B11" s="1385" t="s">
        <v>392</v>
      </c>
      <c r="C11" s="1386"/>
      <c r="D11" s="454">
        <v>180</v>
      </c>
      <c r="E11" s="446">
        <v>150</v>
      </c>
      <c r="F11" s="523">
        <v>150</v>
      </c>
      <c r="G11" s="449">
        <v>156</v>
      </c>
      <c r="H11" s="450">
        <v>152.19999999999999</v>
      </c>
      <c r="I11" s="897">
        <v>0</v>
      </c>
      <c r="J11" s="513">
        <v>0</v>
      </c>
      <c r="K11" s="1057">
        <v>150</v>
      </c>
      <c r="L11" s="962">
        <f t="shared" si="0"/>
        <v>150</v>
      </c>
      <c r="M11" s="459">
        <f t="shared" si="1"/>
        <v>100</v>
      </c>
      <c r="N11" s="460">
        <f t="shared" ref="N11:N23" si="4">L11/G11*100</f>
        <v>96.15384615384616</v>
      </c>
    </row>
    <row r="12" spans="1:23" s="524" customFormat="1" ht="30" customHeight="1" x14ac:dyDescent="0.2">
      <c r="A12" s="522">
        <v>2321</v>
      </c>
      <c r="B12" s="1385" t="s">
        <v>378</v>
      </c>
      <c r="C12" s="1386"/>
      <c r="D12" s="454">
        <v>100</v>
      </c>
      <c r="E12" s="446">
        <v>0</v>
      </c>
      <c r="F12" s="523">
        <v>0</v>
      </c>
      <c r="G12" s="449">
        <v>0</v>
      </c>
      <c r="H12" s="450">
        <v>0</v>
      </c>
      <c r="I12" s="897">
        <v>0</v>
      </c>
      <c r="J12" s="513">
        <v>0</v>
      </c>
      <c r="K12" s="1057">
        <v>0</v>
      </c>
      <c r="L12" s="962">
        <f t="shared" si="0"/>
        <v>0</v>
      </c>
      <c r="M12" s="459" t="s">
        <v>60</v>
      </c>
      <c r="N12" s="460" t="s">
        <v>60</v>
      </c>
    </row>
    <row r="13" spans="1:23" s="524" customFormat="1" ht="29.25" customHeight="1" x14ac:dyDescent="0.2">
      <c r="A13" s="522">
        <v>2339</v>
      </c>
      <c r="B13" s="1385" t="s">
        <v>316</v>
      </c>
      <c r="C13" s="1386"/>
      <c r="D13" s="454">
        <v>300</v>
      </c>
      <c r="E13" s="446">
        <v>270.38</v>
      </c>
      <c r="F13" s="523">
        <v>300</v>
      </c>
      <c r="G13" s="449">
        <v>300</v>
      </c>
      <c r="H13" s="450">
        <v>0</v>
      </c>
      <c r="I13" s="897">
        <v>300</v>
      </c>
      <c r="J13" s="513">
        <v>0</v>
      </c>
      <c r="K13" s="1057">
        <v>0</v>
      </c>
      <c r="L13" s="962">
        <f t="shared" si="0"/>
        <v>300</v>
      </c>
      <c r="M13" s="459">
        <f t="shared" ref="M13:M22" si="5">L13/F13*100</f>
        <v>100</v>
      </c>
      <c r="N13" s="460">
        <f t="shared" ref="N13:N22" si="6">L13/G13*100</f>
        <v>100</v>
      </c>
    </row>
    <row r="14" spans="1:23" s="524" customFormat="1" ht="30" customHeight="1" x14ac:dyDescent="0.2">
      <c r="A14" s="522">
        <v>3714</v>
      </c>
      <c r="B14" s="1385" t="s">
        <v>520</v>
      </c>
      <c r="C14" s="1386"/>
      <c r="D14" s="454">
        <v>0</v>
      </c>
      <c r="E14" s="446">
        <v>0</v>
      </c>
      <c r="F14" s="523">
        <v>0</v>
      </c>
      <c r="G14" s="449">
        <v>1868.66</v>
      </c>
      <c r="H14" s="450">
        <v>0</v>
      </c>
      <c r="I14" s="897">
        <v>0</v>
      </c>
      <c r="J14" s="513">
        <v>0</v>
      </c>
      <c r="K14" s="1057">
        <v>0</v>
      </c>
      <c r="L14" s="962">
        <f t="shared" si="0"/>
        <v>0</v>
      </c>
      <c r="M14" s="459" t="s">
        <v>60</v>
      </c>
      <c r="N14" s="460">
        <f t="shared" si="6"/>
        <v>0</v>
      </c>
    </row>
    <row r="15" spans="1:23" s="524" customFormat="1" ht="20.100000000000001" customHeight="1" x14ac:dyDescent="0.2">
      <c r="A15" s="522">
        <v>3716</v>
      </c>
      <c r="B15" s="1385" t="s">
        <v>155</v>
      </c>
      <c r="C15" s="1386"/>
      <c r="D15" s="454">
        <v>1120</v>
      </c>
      <c r="E15" s="446">
        <v>1114.49</v>
      </c>
      <c r="F15" s="523">
        <v>1115</v>
      </c>
      <c r="G15" s="449">
        <v>1115</v>
      </c>
      <c r="H15" s="450">
        <v>666.74</v>
      </c>
      <c r="I15" s="897">
        <v>0</v>
      </c>
      <c r="J15" s="513">
        <v>1184</v>
      </c>
      <c r="K15" s="1057">
        <v>0</v>
      </c>
      <c r="L15" s="962">
        <f t="shared" si="0"/>
        <v>1184</v>
      </c>
      <c r="M15" s="459">
        <f t="shared" si="5"/>
        <v>106.1883408071749</v>
      </c>
      <c r="N15" s="460">
        <f t="shared" si="6"/>
        <v>106.1883408071749</v>
      </c>
    </row>
    <row r="16" spans="1:23" s="524" customFormat="1" ht="20.100000000000001" customHeight="1" x14ac:dyDescent="0.2">
      <c r="A16" s="522">
        <v>3727</v>
      </c>
      <c r="B16" s="1385" t="s">
        <v>156</v>
      </c>
      <c r="C16" s="1386"/>
      <c r="D16" s="454">
        <v>1000</v>
      </c>
      <c r="E16" s="446">
        <v>1060.1300000000001</v>
      </c>
      <c r="F16" s="523">
        <v>1000</v>
      </c>
      <c r="G16" s="449">
        <v>3432.2</v>
      </c>
      <c r="H16" s="450">
        <v>2169.33</v>
      </c>
      <c r="I16" s="897">
        <v>0</v>
      </c>
      <c r="J16" s="513">
        <v>1000</v>
      </c>
      <c r="K16" s="1057">
        <v>0</v>
      </c>
      <c r="L16" s="962">
        <f t="shared" si="0"/>
        <v>1000</v>
      </c>
      <c r="M16" s="459">
        <f t="shared" si="5"/>
        <v>100</v>
      </c>
      <c r="N16" s="460">
        <f t="shared" si="6"/>
        <v>29.135831245265432</v>
      </c>
    </row>
    <row r="17" spans="1:15" s="524" customFormat="1" ht="20.100000000000001" customHeight="1" x14ac:dyDescent="0.2">
      <c r="A17" s="522">
        <v>3729</v>
      </c>
      <c r="B17" s="1385" t="s">
        <v>157</v>
      </c>
      <c r="C17" s="1386"/>
      <c r="D17" s="454">
        <v>650</v>
      </c>
      <c r="E17" s="446">
        <v>497.07</v>
      </c>
      <c r="F17" s="523">
        <v>100</v>
      </c>
      <c r="G17" s="449">
        <v>100</v>
      </c>
      <c r="H17" s="450">
        <v>0</v>
      </c>
      <c r="I17" s="897">
        <v>100</v>
      </c>
      <c r="J17" s="513">
        <v>0</v>
      </c>
      <c r="K17" s="1057">
        <v>0</v>
      </c>
      <c r="L17" s="962">
        <f t="shared" si="0"/>
        <v>100</v>
      </c>
      <c r="M17" s="459">
        <f t="shared" si="5"/>
        <v>100</v>
      </c>
      <c r="N17" s="460">
        <f t="shared" si="6"/>
        <v>100</v>
      </c>
    </row>
    <row r="18" spans="1:15" s="524" customFormat="1" ht="20.100000000000001" customHeight="1" x14ac:dyDescent="0.2">
      <c r="A18" s="522">
        <v>3741</v>
      </c>
      <c r="B18" s="1385" t="s">
        <v>158</v>
      </c>
      <c r="C18" s="1386"/>
      <c r="D18" s="454">
        <v>3500</v>
      </c>
      <c r="E18" s="446">
        <v>1873</v>
      </c>
      <c r="F18" s="523">
        <v>3484</v>
      </c>
      <c r="G18" s="449">
        <v>4355</v>
      </c>
      <c r="H18" s="450">
        <v>2613</v>
      </c>
      <c r="I18" s="897">
        <v>3484</v>
      </c>
      <c r="J18" s="513">
        <v>0</v>
      </c>
      <c r="K18" s="1057">
        <v>0</v>
      </c>
      <c r="L18" s="962">
        <f t="shared" si="0"/>
        <v>3484</v>
      </c>
      <c r="M18" s="459">
        <f t="shared" si="5"/>
        <v>100</v>
      </c>
      <c r="N18" s="460">
        <f t="shared" si="6"/>
        <v>80</v>
      </c>
    </row>
    <row r="19" spans="1:15" s="470" customFormat="1" ht="20.100000000000001" customHeight="1" x14ac:dyDescent="0.2">
      <c r="A19" s="1383">
        <v>3742</v>
      </c>
      <c r="B19" s="1385" t="s">
        <v>120</v>
      </c>
      <c r="C19" s="1386"/>
      <c r="D19" s="477">
        <v>18889</v>
      </c>
      <c r="E19" s="500">
        <v>18572.38</v>
      </c>
      <c r="F19" s="525">
        <v>19900</v>
      </c>
      <c r="G19" s="479">
        <v>26478.33</v>
      </c>
      <c r="H19" s="486">
        <v>3984.09</v>
      </c>
      <c r="I19" s="897">
        <v>28600</v>
      </c>
      <c r="J19" s="513">
        <v>0</v>
      </c>
      <c r="K19" s="1057">
        <v>0</v>
      </c>
      <c r="L19" s="962">
        <f t="shared" si="0"/>
        <v>28600</v>
      </c>
      <c r="M19" s="459">
        <f t="shared" si="5"/>
        <v>143.71859296482413</v>
      </c>
      <c r="N19" s="460">
        <f t="shared" si="6"/>
        <v>108.01285428499455</v>
      </c>
      <c r="O19" s="488"/>
    </row>
    <row r="20" spans="1:15" ht="15" customHeight="1" x14ac:dyDescent="0.2">
      <c r="A20" s="1384"/>
      <c r="B20" s="429" t="s">
        <v>96</v>
      </c>
      <c r="C20" s="646" t="s">
        <v>148</v>
      </c>
      <c r="D20" s="74">
        <v>200</v>
      </c>
      <c r="E20" s="99">
        <v>56.05</v>
      </c>
      <c r="F20" s="340">
        <v>200</v>
      </c>
      <c r="G20" s="76">
        <v>200</v>
      </c>
      <c r="H20" s="84">
        <v>0</v>
      </c>
      <c r="I20" s="80">
        <v>200</v>
      </c>
      <c r="J20" s="1014">
        <v>0</v>
      </c>
      <c r="K20" s="1015">
        <v>0</v>
      </c>
      <c r="L20" s="1011">
        <f t="shared" si="0"/>
        <v>200</v>
      </c>
      <c r="M20" s="78">
        <f t="shared" si="5"/>
        <v>100</v>
      </c>
      <c r="N20" s="79">
        <f t="shared" si="6"/>
        <v>100</v>
      </c>
      <c r="O20" s="339"/>
    </row>
    <row r="21" spans="1:15" s="470" customFormat="1" ht="20.100000000000001" customHeight="1" x14ac:dyDescent="0.2">
      <c r="A21" s="522">
        <v>3769</v>
      </c>
      <c r="B21" s="1385" t="s">
        <v>159</v>
      </c>
      <c r="C21" s="1386"/>
      <c r="D21" s="477">
        <v>400</v>
      </c>
      <c r="E21" s="500">
        <v>0</v>
      </c>
      <c r="F21" s="525">
        <v>400</v>
      </c>
      <c r="G21" s="479">
        <v>723.43</v>
      </c>
      <c r="H21" s="486">
        <v>58.68</v>
      </c>
      <c r="I21" s="897">
        <v>400</v>
      </c>
      <c r="J21" s="513">
        <v>0</v>
      </c>
      <c r="K21" s="1057">
        <v>0</v>
      </c>
      <c r="L21" s="962">
        <f t="shared" si="0"/>
        <v>400</v>
      </c>
      <c r="M21" s="459">
        <f t="shared" si="5"/>
        <v>100</v>
      </c>
      <c r="N21" s="460">
        <f t="shared" si="6"/>
        <v>55.292149897018369</v>
      </c>
      <c r="O21" s="488"/>
    </row>
    <row r="22" spans="1:15" s="470" customFormat="1" ht="20.100000000000001" customHeight="1" x14ac:dyDescent="0.2">
      <c r="A22" s="522">
        <v>3792</v>
      </c>
      <c r="B22" s="1385" t="s">
        <v>160</v>
      </c>
      <c r="C22" s="1386"/>
      <c r="D22" s="477">
        <v>17177</v>
      </c>
      <c r="E22" s="500">
        <v>16646.84</v>
      </c>
      <c r="F22" s="525">
        <v>18177</v>
      </c>
      <c r="G22" s="479">
        <v>18710.439999999999</v>
      </c>
      <c r="H22" s="486">
        <v>14135.4</v>
      </c>
      <c r="I22" s="897">
        <v>0</v>
      </c>
      <c r="J22" s="513">
        <v>18000</v>
      </c>
      <c r="K22" s="1057">
        <v>177</v>
      </c>
      <c r="L22" s="962">
        <f t="shared" si="0"/>
        <v>18177</v>
      </c>
      <c r="M22" s="459">
        <f t="shared" si="5"/>
        <v>100</v>
      </c>
      <c r="N22" s="460">
        <f t="shared" si="6"/>
        <v>97.148971376408042</v>
      </c>
      <c r="O22" s="488"/>
    </row>
    <row r="23" spans="1:15" s="470" customFormat="1" ht="20.100000000000001" customHeight="1" thickBot="1" x14ac:dyDescent="0.25">
      <c r="A23" s="522">
        <v>3799</v>
      </c>
      <c r="B23" s="1385" t="s">
        <v>161</v>
      </c>
      <c r="C23" s="1386"/>
      <c r="D23" s="477">
        <v>1495</v>
      </c>
      <c r="E23" s="500">
        <v>1382.78</v>
      </c>
      <c r="F23" s="525">
        <v>1615</v>
      </c>
      <c r="G23" s="479">
        <v>1724.5</v>
      </c>
      <c r="H23" s="486">
        <v>285.23</v>
      </c>
      <c r="I23" s="897">
        <v>874</v>
      </c>
      <c r="J23" s="513">
        <v>0</v>
      </c>
      <c r="K23" s="1057">
        <v>972</v>
      </c>
      <c r="L23" s="962">
        <f t="shared" si="0"/>
        <v>1846</v>
      </c>
      <c r="M23" s="459">
        <f t="shared" si="1"/>
        <v>114.30340557275542</v>
      </c>
      <c r="N23" s="460">
        <f t="shared" si="4"/>
        <v>107.04552044070745</v>
      </c>
      <c r="O23" s="488"/>
    </row>
    <row r="24" spans="1:15" s="19" customFormat="1" ht="20.100000000000001" customHeight="1" thickBot="1" x14ac:dyDescent="0.3">
      <c r="A24" s="190"/>
      <c r="B24" s="401" t="s">
        <v>85</v>
      </c>
      <c r="C24" s="643"/>
      <c r="D24" s="181">
        <f t="shared" ref="D24:L24" si="7">SUM(D9:D19)+SUM(D21:D23)</f>
        <v>46011</v>
      </c>
      <c r="E24" s="194">
        <f t="shared" si="7"/>
        <v>42861.91</v>
      </c>
      <c r="F24" s="181">
        <f t="shared" si="7"/>
        <v>47471</v>
      </c>
      <c r="G24" s="183">
        <f t="shared" si="7"/>
        <v>61893.56</v>
      </c>
      <c r="H24" s="182">
        <f t="shared" si="7"/>
        <v>24786.190000000002</v>
      </c>
      <c r="I24" s="181">
        <f t="shared" si="7"/>
        <v>33758</v>
      </c>
      <c r="J24" s="956">
        <f t="shared" si="7"/>
        <v>20184</v>
      </c>
      <c r="K24" s="191">
        <f t="shared" si="7"/>
        <v>2529</v>
      </c>
      <c r="L24" s="981">
        <f t="shared" si="7"/>
        <v>56471</v>
      </c>
      <c r="M24" s="184">
        <f>L24/F24*100</f>
        <v>118.95894335489035</v>
      </c>
      <c r="N24" s="185">
        <f>L24/G24*100</f>
        <v>91.238894644289331</v>
      </c>
      <c r="O24" s="268"/>
    </row>
    <row r="26" spans="1:15" x14ac:dyDescent="0.2">
      <c r="D26" s="147"/>
      <c r="F26" s="147"/>
      <c r="L26" s="147"/>
    </row>
    <row r="27" spans="1:15" x14ac:dyDescent="0.2">
      <c r="D27" s="147"/>
      <c r="F27" s="147"/>
      <c r="L27" s="147"/>
      <c r="M27" s="147"/>
      <c r="N27" s="147"/>
    </row>
  </sheetData>
  <mergeCells count="23">
    <mergeCell ref="A19:A20"/>
    <mergeCell ref="B21:C21"/>
    <mergeCell ref="B22:C22"/>
    <mergeCell ref="B23:C23"/>
    <mergeCell ref="B9:C9"/>
    <mergeCell ref="B11:C11"/>
    <mergeCell ref="B12:C12"/>
    <mergeCell ref="B17:C17"/>
    <mergeCell ref="B18:C18"/>
    <mergeCell ref="B19:C19"/>
    <mergeCell ref="B10:C10"/>
    <mergeCell ref="B14:C14"/>
    <mergeCell ref="B16:C16"/>
    <mergeCell ref="B13:C13"/>
    <mergeCell ref="B15:C15"/>
    <mergeCell ref="A2:N2"/>
    <mergeCell ref="A6:A7"/>
    <mergeCell ref="D6:E6"/>
    <mergeCell ref="F6:H6"/>
    <mergeCell ref="I6:L6"/>
    <mergeCell ref="M6:M7"/>
    <mergeCell ref="N6:N7"/>
    <mergeCell ref="B6:C7"/>
  </mergeCells>
  <printOptions horizontalCentered="1"/>
  <pageMargins left="0.59055118110236227" right="0.59055118110236227" top="0.78740157480314965" bottom="0.78740157480314965" header="0.55118110236220474" footer="0.59055118110236227"/>
  <pageSetup paperSize="9" scale="65" fitToHeight="2"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W64"/>
  <sheetViews>
    <sheetView workbookViewId="0"/>
  </sheetViews>
  <sheetFormatPr defaultRowHeight="12.75" x14ac:dyDescent="0.2"/>
  <cols>
    <col min="1" max="1" width="7.7109375" style="1" customWidth="1"/>
    <col min="2" max="2" width="6.7109375" style="1" customWidth="1"/>
    <col min="3" max="3" width="40.7109375" style="1" customWidth="1"/>
    <col min="4" max="4" width="14.7109375" style="2" customWidth="1"/>
    <col min="5" max="5" width="14.7109375" style="3" customWidth="1"/>
    <col min="6" max="6" width="14.7109375" style="2" customWidth="1"/>
    <col min="7" max="7" width="16" style="3" customWidth="1"/>
    <col min="8" max="9" width="14.7109375" style="3" customWidth="1"/>
    <col min="10" max="10" width="15.42578125" style="3" customWidth="1"/>
    <col min="11" max="11" width="14.7109375" style="3" customWidth="1"/>
    <col min="12" max="12" width="14.7109375" style="787" customWidth="1"/>
    <col min="13" max="14" width="9.7109375" style="5" customWidth="1"/>
    <col min="15" max="15" width="10" style="1" customWidth="1"/>
    <col min="16" max="257" width="9.140625" style="1"/>
    <col min="258" max="258" width="6.7109375" style="1" customWidth="1"/>
    <col min="259" max="259" width="41.5703125" style="1" customWidth="1"/>
    <col min="260" max="267" width="14.7109375" style="1" customWidth="1"/>
    <col min="268" max="268" width="16.7109375" style="1" customWidth="1"/>
    <col min="269" max="270" width="7.4257812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6" width="7.4257812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2" width="7.4257812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8" width="7.4257812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4" width="7.4257812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50" width="7.4257812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6" width="7.4257812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2" width="7.4257812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8" width="7.4257812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4" width="7.4257812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30" width="7.4257812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6" width="7.4257812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2" width="7.4257812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8" width="7.4257812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4" width="7.4257812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10" width="7.4257812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6" width="7.4257812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2" width="7.4257812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8" width="7.4257812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4" width="7.4257812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90" width="7.4257812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6" width="7.4257812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2" width="7.4257812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8" width="7.4257812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4" width="7.4257812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70" width="7.4257812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6" width="7.4257812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2" width="7.4257812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8" width="7.4257812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4" width="7.4257812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50" width="7.4257812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6" width="7.4257812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2" width="7.4257812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8" width="7.4257812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4" width="7.4257812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30" width="7.4257812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6" width="7.4257812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2" width="7.4257812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8" width="7.4257812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4" width="7.4257812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10" width="7.4257812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6" width="7.4257812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2" width="7.4257812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8" width="7.4257812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4" width="7.4257812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90" width="7.4257812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6" width="7.4257812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2" width="7.4257812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8" width="7.4257812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4" width="7.4257812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70" width="7.4257812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6" width="7.4257812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2" width="7.4257812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8" width="7.4257812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4" width="7.4257812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50" width="7.4257812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6" width="7.4257812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2" width="7.4257812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8" width="7.4257812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4" width="7.4257812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30" width="7.4257812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6" width="7.4257812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2" width="7.42578125" style="1" customWidth="1"/>
    <col min="16143" max="16384" width="9.140625" style="1"/>
  </cols>
  <sheetData>
    <row r="1" spans="1:23" ht="15" x14ac:dyDescent="0.25">
      <c r="N1" s="6"/>
    </row>
    <row r="2" spans="1:23" ht="20.100000000000001" customHeight="1" x14ac:dyDescent="0.35">
      <c r="A2" s="1303" t="s">
        <v>508</v>
      </c>
      <c r="B2" s="1196"/>
      <c r="C2" s="1196"/>
      <c r="D2" s="1196"/>
      <c r="E2" s="1196"/>
      <c r="F2" s="1196"/>
      <c r="G2" s="1196"/>
      <c r="H2" s="1196"/>
      <c r="I2" s="1196"/>
      <c r="J2" s="1196"/>
      <c r="K2" s="1196"/>
      <c r="L2" s="1196"/>
      <c r="M2" s="1196"/>
      <c r="N2" s="1304"/>
    </row>
    <row r="3" spans="1:23" ht="15" customHeight="1" x14ac:dyDescent="0.2"/>
    <row r="4" spans="1:23" ht="20.100000000000001" customHeight="1" x14ac:dyDescent="0.3">
      <c r="A4" s="7" t="s">
        <v>149</v>
      </c>
      <c r="M4" s="8"/>
    </row>
    <row r="5" spans="1:23" ht="15" customHeight="1" thickBot="1" x14ac:dyDescent="0.35">
      <c r="A5" s="7"/>
      <c r="N5" s="8" t="s">
        <v>0</v>
      </c>
    </row>
    <row r="6" spans="1:23" s="62" customFormat="1" ht="15.7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23"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23" s="9" customFormat="1" ht="20.100000000000001" customHeight="1" thickBot="1" x14ac:dyDescent="0.3">
      <c r="B8" s="10" t="s">
        <v>104</v>
      </c>
      <c r="C8" s="10"/>
      <c r="D8" s="11"/>
      <c r="E8" s="12"/>
      <c r="F8" s="11"/>
      <c r="G8" s="13"/>
      <c r="H8" s="13"/>
      <c r="I8" s="13"/>
      <c r="J8" s="13"/>
      <c r="K8" s="13"/>
      <c r="L8" s="268"/>
      <c r="M8" s="16"/>
      <c r="N8" s="16"/>
    </row>
    <row r="9" spans="1:23" s="509" customFormat="1" ht="20.100000000000001" customHeight="1" x14ac:dyDescent="0.2">
      <c r="A9" s="1326">
        <v>3612</v>
      </c>
      <c r="B9" s="1322" t="s">
        <v>150</v>
      </c>
      <c r="C9" s="1323"/>
      <c r="D9" s="497">
        <f t="shared" ref="D9:K9" si="0">SUM(D10:D16)</f>
        <v>1935</v>
      </c>
      <c r="E9" s="492">
        <f t="shared" si="0"/>
        <v>1207.3600000000001</v>
      </c>
      <c r="F9" s="497">
        <f t="shared" si="0"/>
        <v>1823</v>
      </c>
      <c r="G9" s="439">
        <f t="shared" si="0"/>
        <v>7375.88</v>
      </c>
      <c r="H9" s="565">
        <f t="shared" si="0"/>
        <v>2205.56</v>
      </c>
      <c r="I9" s="472">
        <f t="shared" si="0"/>
        <v>1685</v>
      </c>
      <c r="J9" s="438">
        <f t="shared" si="0"/>
        <v>73</v>
      </c>
      <c r="K9" s="1060">
        <f t="shared" si="0"/>
        <v>32</v>
      </c>
      <c r="L9" s="961">
        <f>SUM(I9:K9)</f>
        <v>1790</v>
      </c>
      <c r="M9" s="476">
        <f>L9/F9*100</f>
        <v>98.189797037849701</v>
      </c>
      <c r="N9" s="442">
        <f>L9/G9*100</f>
        <v>24.268290698872541</v>
      </c>
      <c r="O9" s="514"/>
      <c r="P9" s="514"/>
      <c r="Q9" s="514"/>
      <c r="R9" s="514"/>
      <c r="S9" s="514"/>
      <c r="T9" s="514"/>
      <c r="U9" s="514"/>
      <c r="V9" s="514"/>
      <c r="W9" s="514"/>
    </row>
    <row r="10" spans="1:23" s="509" customFormat="1" ht="24.95" customHeight="1" x14ac:dyDescent="0.2">
      <c r="A10" s="1300"/>
      <c r="B10" s="1318" t="s">
        <v>96</v>
      </c>
      <c r="C10" s="638" t="s">
        <v>462</v>
      </c>
      <c r="D10" s="94">
        <v>0</v>
      </c>
      <c r="E10" s="93">
        <v>0</v>
      </c>
      <c r="F10" s="94">
        <v>0</v>
      </c>
      <c r="G10" s="81">
        <v>80</v>
      </c>
      <c r="H10" s="95">
        <v>0</v>
      </c>
      <c r="I10" s="83">
        <v>0</v>
      </c>
      <c r="J10" s="1014">
        <v>0</v>
      </c>
      <c r="K10" s="1061">
        <v>0</v>
      </c>
      <c r="L10" s="1011">
        <f t="shared" ref="L10:L16" si="1">SUM(I10:K10)</f>
        <v>0</v>
      </c>
      <c r="M10" s="92" t="s">
        <v>60</v>
      </c>
      <c r="N10" s="79">
        <f t="shared" ref="N10:N14" si="2">L10/G10*100</f>
        <v>0</v>
      </c>
      <c r="O10" s="514"/>
      <c r="P10" s="514"/>
      <c r="Q10" s="514"/>
      <c r="R10" s="514"/>
      <c r="S10" s="514"/>
      <c r="T10" s="514"/>
      <c r="U10" s="514"/>
      <c r="V10" s="514"/>
      <c r="W10" s="514"/>
    </row>
    <row r="11" spans="1:23" s="509" customFormat="1" ht="15" customHeight="1" x14ac:dyDescent="0.2">
      <c r="A11" s="1300"/>
      <c r="B11" s="1319"/>
      <c r="C11" s="644" t="s">
        <v>455</v>
      </c>
      <c r="D11" s="94">
        <v>53</v>
      </c>
      <c r="E11" s="93">
        <v>0</v>
      </c>
      <c r="F11" s="94">
        <v>53</v>
      </c>
      <c r="G11" s="81">
        <v>53</v>
      </c>
      <c r="H11" s="95">
        <v>1.48</v>
      </c>
      <c r="I11" s="83">
        <v>15</v>
      </c>
      <c r="J11" s="1014">
        <v>3</v>
      </c>
      <c r="K11" s="1061">
        <v>2</v>
      </c>
      <c r="L11" s="1011">
        <f t="shared" ref="L11" si="3">SUM(I11:K11)</f>
        <v>20</v>
      </c>
      <c r="M11" s="92">
        <f t="shared" ref="M11" si="4">L11/F11*100</f>
        <v>37.735849056603776</v>
      </c>
      <c r="N11" s="79">
        <f t="shared" ref="N11" si="5">L11/G11*100</f>
        <v>37.735849056603776</v>
      </c>
      <c r="O11" s="514"/>
      <c r="P11" s="514"/>
      <c r="Q11" s="514"/>
      <c r="R11" s="514"/>
      <c r="S11" s="514"/>
      <c r="T11" s="514"/>
      <c r="U11" s="514"/>
      <c r="V11" s="514"/>
      <c r="W11" s="514"/>
    </row>
    <row r="12" spans="1:23" s="509" customFormat="1" ht="15" customHeight="1" x14ac:dyDescent="0.2">
      <c r="A12" s="1300"/>
      <c r="B12" s="1319"/>
      <c r="C12" s="644" t="s">
        <v>456</v>
      </c>
      <c r="D12" s="94">
        <v>699</v>
      </c>
      <c r="E12" s="93">
        <v>717.67</v>
      </c>
      <c r="F12" s="94">
        <v>800</v>
      </c>
      <c r="G12" s="81">
        <v>1240</v>
      </c>
      <c r="H12" s="95">
        <v>621.02</v>
      </c>
      <c r="I12" s="83">
        <v>800</v>
      </c>
      <c r="J12" s="1014">
        <v>0</v>
      </c>
      <c r="K12" s="1061">
        <v>0</v>
      </c>
      <c r="L12" s="1011">
        <f t="shared" si="1"/>
        <v>800</v>
      </c>
      <c r="M12" s="92">
        <f t="shared" ref="M12:M14" si="6">L12/F12*100</f>
        <v>100</v>
      </c>
      <c r="N12" s="79">
        <f t="shared" si="2"/>
        <v>64.516129032258064</v>
      </c>
      <c r="O12" s="514"/>
      <c r="P12" s="514"/>
      <c r="Q12" s="514"/>
      <c r="R12" s="514"/>
      <c r="S12" s="514"/>
      <c r="T12" s="514"/>
      <c r="U12" s="514"/>
      <c r="V12" s="514"/>
      <c r="W12" s="514"/>
    </row>
    <row r="13" spans="1:23" s="509" customFormat="1" ht="15" customHeight="1" x14ac:dyDescent="0.2">
      <c r="A13" s="1300"/>
      <c r="B13" s="1319"/>
      <c r="C13" s="644" t="s">
        <v>457</v>
      </c>
      <c r="D13" s="94">
        <v>171</v>
      </c>
      <c r="E13" s="93">
        <v>126.95</v>
      </c>
      <c r="F13" s="94">
        <v>400</v>
      </c>
      <c r="G13" s="81">
        <v>894.62</v>
      </c>
      <c r="H13" s="95">
        <v>284.32</v>
      </c>
      <c r="I13" s="83">
        <v>370</v>
      </c>
      <c r="J13" s="1014">
        <v>20</v>
      </c>
      <c r="K13" s="1061">
        <v>10</v>
      </c>
      <c r="L13" s="1011">
        <f t="shared" si="1"/>
        <v>400</v>
      </c>
      <c r="M13" s="92">
        <f t="shared" si="6"/>
        <v>100</v>
      </c>
      <c r="N13" s="79">
        <f t="shared" si="2"/>
        <v>44.711721177706735</v>
      </c>
      <c r="O13" s="514"/>
      <c r="P13" s="514"/>
      <c r="Q13" s="514"/>
      <c r="R13" s="514"/>
      <c r="S13" s="514"/>
      <c r="T13" s="514"/>
      <c r="U13" s="514"/>
      <c r="V13" s="514"/>
      <c r="W13" s="514"/>
    </row>
    <row r="14" spans="1:23" s="509" customFormat="1" ht="15" customHeight="1" x14ac:dyDescent="0.2">
      <c r="A14" s="1300"/>
      <c r="B14" s="1319"/>
      <c r="C14" s="644" t="s">
        <v>458</v>
      </c>
      <c r="D14" s="94">
        <v>1012</v>
      </c>
      <c r="E14" s="93">
        <v>362.54</v>
      </c>
      <c r="F14" s="94">
        <v>570</v>
      </c>
      <c r="G14" s="81">
        <v>5107.26</v>
      </c>
      <c r="H14" s="95">
        <v>1298.74</v>
      </c>
      <c r="I14" s="83">
        <v>500</v>
      </c>
      <c r="J14" s="1014">
        <v>50</v>
      </c>
      <c r="K14" s="1061">
        <v>20</v>
      </c>
      <c r="L14" s="1011">
        <f t="shared" si="1"/>
        <v>570</v>
      </c>
      <c r="M14" s="92">
        <f t="shared" si="6"/>
        <v>100</v>
      </c>
      <c r="N14" s="79">
        <f t="shared" si="2"/>
        <v>11.16058316984058</v>
      </c>
      <c r="O14" s="514"/>
      <c r="P14" s="514"/>
      <c r="Q14" s="514"/>
      <c r="R14" s="514"/>
      <c r="S14" s="514"/>
      <c r="T14" s="514"/>
      <c r="U14" s="514"/>
      <c r="V14" s="514"/>
      <c r="W14" s="514"/>
    </row>
    <row r="15" spans="1:23" s="509" customFormat="1" ht="26.25" customHeight="1" x14ac:dyDescent="0.2">
      <c r="A15" s="1300"/>
      <c r="B15" s="1319"/>
      <c r="C15" s="638" t="s">
        <v>317</v>
      </c>
      <c r="D15" s="80">
        <v>0</v>
      </c>
      <c r="E15" s="98">
        <v>0.2</v>
      </c>
      <c r="F15" s="80">
        <v>0</v>
      </c>
      <c r="G15" s="849">
        <v>0</v>
      </c>
      <c r="H15" s="93">
        <v>0</v>
      </c>
      <c r="I15" s="83">
        <v>0</v>
      </c>
      <c r="J15" s="1014">
        <v>0</v>
      </c>
      <c r="K15" s="1015">
        <v>0</v>
      </c>
      <c r="L15" s="1011">
        <f t="shared" si="1"/>
        <v>0</v>
      </c>
      <c r="M15" s="92" t="s">
        <v>60</v>
      </c>
      <c r="N15" s="79" t="s">
        <v>60</v>
      </c>
      <c r="O15" s="514"/>
      <c r="P15" s="514"/>
      <c r="Q15" s="514"/>
      <c r="R15" s="514"/>
      <c r="S15" s="514"/>
      <c r="T15" s="514"/>
      <c r="U15" s="514"/>
      <c r="V15" s="514"/>
      <c r="W15" s="514"/>
    </row>
    <row r="16" spans="1:23" s="509" customFormat="1" ht="26.25" customHeight="1" x14ac:dyDescent="0.2">
      <c r="A16" s="1300"/>
      <c r="B16" s="1319"/>
      <c r="C16" s="638" t="s">
        <v>257</v>
      </c>
      <c r="D16" s="94">
        <v>0</v>
      </c>
      <c r="E16" s="93">
        <v>0</v>
      </c>
      <c r="F16" s="94">
        <v>0</v>
      </c>
      <c r="G16" s="849">
        <v>1</v>
      </c>
      <c r="H16" s="359">
        <v>0</v>
      </c>
      <c r="I16" s="83">
        <v>0</v>
      </c>
      <c r="J16" s="1014">
        <v>0</v>
      </c>
      <c r="K16" s="1061">
        <v>0</v>
      </c>
      <c r="L16" s="1011">
        <f t="shared" si="1"/>
        <v>0</v>
      </c>
      <c r="M16" s="92" t="s">
        <v>60</v>
      </c>
      <c r="N16" s="79">
        <f>L16/G16*100</f>
        <v>0</v>
      </c>
      <c r="O16" s="514"/>
      <c r="P16" s="514"/>
      <c r="Q16" s="514"/>
      <c r="R16" s="514"/>
      <c r="S16" s="514"/>
      <c r="T16" s="514"/>
      <c r="U16" s="514"/>
      <c r="V16" s="514"/>
      <c r="W16" s="514"/>
    </row>
    <row r="17" spans="1:15" s="63" customFormat="1" ht="15" customHeight="1" x14ac:dyDescent="0.2">
      <c r="A17" s="1300"/>
      <c r="B17" s="1327" t="s">
        <v>96</v>
      </c>
      <c r="C17" s="638" t="s">
        <v>151</v>
      </c>
      <c r="D17" s="94">
        <v>1012</v>
      </c>
      <c r="E17" s="93">
        <v>362.54</v>
      </c>
      <c r="F17" s="94">
        <v>570</v>
      </c>
      <c r="G17" s="81">
        <v>5107.26</v>
      </c>
      <c r="H17" s="95">
        <v>1298.74</v>
      </c>
      <c r="I17" s="83">
        <v>500</v>
      </c>
      <c r="J17" s="1014">
        <v>50</v>
      </c>
      <c r="K17" s="1061">
        <v>20</v>
      </c>
      <c r="L17" s="1011">
        <f>SUM(I17:K17)</f>
        <v>570</v>
      </c>
      <c r="M17" s="92">
        <f t="shared" ref="M17:M18" si="7">L17/F17*100</f>
        <v>100</v>
      </c>
      <c r="N17" s="79">
        <f t="shared" ref="N17:N18" si="8">L17/G17*100</f>
        <v>11.16058316984058</v>
      </c>
    </row>
    <row r="18" spans="1:15" s="63" customFormat="1" ht="15" customHeight="1" x14ac:dyDescent="0.2">
      <c r="A18" s="1321"/>
      <c r="B18" s="1328"/>
      <c r="C18" s="795" t="s">
        <v>416</v>
      </c>
      <c r="D18" s="83">
        <v>124</v>
      </c>
      <c r="E18" s="82">
        <v>628.14</v>
      </c>
      <c r="F18" s="83">
        <v>660</v>
      </c>
      <c r="G18" s="414">
        <v>1050</v>
      </c>
      <c r="H18" s="95">
        <v>542.91</v>
      </c>
      <c r="I18" s="83">
        <v>660</v>
      </c>
      <c r="J18" s="1014">
        <v>0</v>
      </c>
      <c r="K18" s="1061">
        <v>0</v>
      </c>
      <c r="L18" s="1011">
        <f>SUM(I18:K18)</f>
        <v>660</v>
      </c>
      <c r="M18" s="92">
        <f t="shared" si="7"/>
        <v>100</v>
      </c>
      <c r="N18" s="79">
        <f t="shared" si="8"/>
        <v>62.857142857142854</v>
      </c>
    </row>
    <row r="19" spans="1:15" s="509" customFormat="1" ht="20.100000000000001" customHeight="1" x14ac:dyDescent="0.2">
      <c r="A19" s="1299">
        <v>3613</v>
      </c>
      <c r="B19" s="1393" t="s">
        <v>152</v>
      </c>
      <c r="C19" s="1325"/>
      <c r="D19" s="499">
        <f t="shared" ref="D19:K19" si="9">SUM(D20:D27)</f>
        <v>11704</v>
      </c>
      <c r="E19" s="473">
        <f t="shared" si="9"/>
        <v>22116.79</v>
      </c>
      <c r="F19" s="499">
        <f t="shared" si="9"/>
        <v>13517</v>
      </c>
      <c r="G19" s="457">
        <f>SUM(G20:G27)</f>
        <v>36287.78</v>
      </c>
      <c r="H19" s="517">
        <f t="shared" si="9"/>
        <v>22976.579999999998</v>
      </c>
      <c r="I19" s="512">
        <f t="shared" si="9"/>
        <v>13264</v>
      </c>
      <c r="J19" s="834">
        <f t="shared" si="9"/>
        <v>204</v>
      </c>
      <c r="K19" s="1062">
        <f t="shared" si="9"/>
        <v>82</v>
      </c>
      <c r="L19" s="962">
        <f>SUM(I19:K19)</f>
        <v>13550</v>
      </c>
      <c r="M19" s="487">
        <f>L19/F19*100</f>
        <v>100.24413701265074</v>
      </c>
      <c r="N19" s="566">
        <f>L19/G19*100</f>
        <v>37.340393928755084</v>
      </c>
      <c r="O19" s="527"/>
    </row>
    <row r="20" spans="1:15" s="509" customFormat="1" ht="24.95" customHeight="1" x14ac:dyDescent="0.2">
      <c r="A20" s="1300"/>
      <c r="B20" s="1394" t="s">
        <v>96</v>
      </c>
      <c r="C20" s="638" t="s">
        <v>462</v>
      </c>
      <c r="D20" s="94">
        <v>0</v>
      </c>
      <c r="E20" s="93">
        <v>0</v>
      </c>
      <c r="F20" s="94">
        <v>0</v>
      </c>
      <c r="G20" s="81">
        <v>39.770000000000003</v>
      </c>
      <c r="H20" s="95">
        <v>39.770000000000003</v>
      </c>
      <c r="I20" s="83">
        <v>0</v>
      </c>
      <c r="J20" s="1014">
        <v>0</v>
      </c>
      <c r="K20" s="1061">
        <v>0</v>
      </c>
      <c r="L20" s="1011">
        <f t="shared" ref="L20:L27" si="10">SUM(I20:K20)</f>
        <v>0</v>
      </c>
      <c r="M20" s="92" t="s">
        <v>60</v>
      </c>
      <c r="N20" s="79">
        <f t="shared" ref="N20:N21" si="11">L20/G20*100</f>
        <v>0</v>
      </c>
      <c r="O20" s="527"/>
    </row>
    <row r="21" spans="1:15" s="509" customFormat="1" ht="15" customHeight="1" x14ac:dyDescent="0.2">
      <c r="A21" s="1300"/>
      <c r="B21" s="1395"/>
      <c r="C21" s="644" t="s">
        <v>455</v>
      </c>
      <c r="D21" s="94">
        <v>26</v>
      </c>
      <c r="E21" s="93">
        <v>14.3</v>
      </c>
      <c r="F21" s="94">
        <v>26</v>
      </c>
      <c r="G21" s="81">
        <v>567.07000000000005</v>
      </c>
      <c r="H21" s="95">
        <v>469.94</v>
      </c>
      <c r="I21" s="83">
        <v>20</v>
      </c>
      <c r="J21" s="1014">
        <v>4</v>
      </c>
      <c r="K21" s="1061">
        <v>2</v>
      </c>
      <c r="L21" s="1011">
        <f t="shared" si="10"/>
        <v>26</v>
      </c>
      <c r="M21" s="92">
        <f t="shared" ref="M21" si="12">L21/F21*100</f>
        <v>100</v>
      </c>
      <c r="N21" s="79">
        <f t="shared" si="11"/>
        <v>4.5849718729610096</v>
      </c>
      <c r="O21" s="527"/>
    </row>
    <row r="22" spans="1:15" s="509" customFormat="1" ht="15" customHeight="1" x14ac:dyDescent="0.2">
      <c r="A22" s="1300"/>
      <c r="B22" s="1395"/>
      <c r="C22" s="644" t="s">
        <v>456</v>
      </c>
      <c r="D22" s="94">
        <v>7952</v>
      </c>
      <c r="E22" s="93">
        <f>1302.25+328.1+4142.55+2981.14</f>
        <v>8754.0399999999991</v>
      </c>
      <c r="F22" s="94">
        <v>9280</v>
      </c>
      <c r="G22" s="81">
        <v>13859.9</v>
      </c>
      <c r="H22" s="95">
        <v>7345.27</v>
      </c>
      <c r="I22" s="83">
        <v>9280</v>
      </c>
      <c r="J22" s="1014">
        <v>0</v>
      </c>
      <c r="K22" s="1061">
        <v>0</v>
      </c>
      <c r="L22" s="1011">
        <f t="shared" si="10"/>
        <v>9280</v>
      </c>
      <c r="M22" s="92">
        <f t="shared" ref="M22:M29" si="13">L22/F22*100</f>
        <v>100</v>
      </c>
      <c r="N22" s="79">
        <f t="shared" ref="N22:N30" si="14">L22/G22*100</f>
        <v>66.955750041486596</v>
      </c>
      <c r="O22" s="527"/>
    </row>
    <row r="23" spans="1:15" s="509" customFormat="1" ht="15" customHeight="1" x14ac:dyDescent="0.2">
      <c r="A23" s="1300"/>
      <c r="B23" s="1395"/>
      <c r="C23" s="644" t="s">
        <v>457</v>
      </c>
      <c r="D23" s="94">
        <v>617</v>
      </c>
      <c r="E23" s="93">
        <f>71.18+229.72+396.92+10973.1</f>
        <v>11670.92</v>
      </c>
      <c r="F23" s="94">
        <v>3011</v>
      </c>
      <c r="G23" s="81">
        <v>7416.61</v>
      </c>
      <c r="H23" s="95">
        <v>4324.55</v>
      </c>
      <c r="I23" s="83">
        <v>2931</v>
      </c>
      <c r="J23" s="1014">
        <v>50</v>
      </c>
      <c r="K23" s="1061">
        <v>30</v>
      </c>
      <c r="L23" s="1011">
        <f t="shared" si="10"/>
        <v>3011</v>
      </c>
      <c r="M23" s="92">
        <f t="shared" si="13"/>
        <v>100</v>
      </c>
      <c r="N23" s="79">
        <f t="shared" si="14"/>
        <v>40.598062996436383</v>
      </c>
      <c r="O23" s="527"/>
    </row>
    <row r="24" spans="1:15" s="509" customFormat="1" ht="15" customHeight="1" x14ac:dyDescent="0.2">
      <c r="A24" s="1300"/>
      <c r="B24" s="1395"/>
      <c r="C24" s="644" t="s">
        <v>458</v>
      </c>
      <c r="D24" s="94">
        <v>3109</v>
      </c>
      <c r="E24" s="93">
        <f>1618.34+42.11</f>
        <v>1660.4499999999998</v>
      </c>
      <c r="F24" s="94">
        <v>1200</v>
      </c>
      <c r="G24" s="81">
        <v>13372.78</v>
      </c>
      <c r="H24" s="95">
        <v>9796.7900000000009</v>
      </c>
      <c r="I24" s="83">
        <v>1033</v>
      </c>
      <c r="J24" s="1014">
        <v>150</v>
      </c>
      <c r="K24" s="1061">
        <v>50</v>
      </c>
      <c r="L24" s="1011">
        <f t="shared" si="10"/>
        <v>1233</v>
      </c>
      <c r="M24" s="92">
        <f t="shared" si="13"/>
        <v>102.75000000000001</v>
      </c>
      <c r="N24" s="79">
        <f t="shared" si="14"/>
        <v>9.2202219732920163</v>
      </c>
      <c r="O24" s="527"/>
    </row>
    <row r="25" spans="1:15" s="509" customFormat="1" ht="27" customHeight="1" x14ac:dyDescent="0.2">
      <c r="A25" s="1300"/>
      <c r="B25" s="1395"/>
      <c r="C25" s="638" t="s">
        <v>317</v>
      </c>
      <c r="D25" s="94">
        <v>0</v>
      </c>
      <c r="E25" s="93">
        <v>0.2</v>
      </c>
      <c r="F25" s="94">
        <v>0</v>
      </c>
      <c r="G25" s="81">
        <v>228.71</v>
      </c>
      <c r="H25" s="95">
        <v>197.51</v>
      </c>
      <c r="I25" s="83">
        <v>0</v>
      </c>
      <c r="J25" s="1014">
        <v>0</v>
      </c>
      <c r="K25" s="1061">
        <v>0</v>
      </c>
      <c r="L25" s="1011">
        <f t="shared" si="10"/>
        <v>0</v>
      </c>
      <c r="M25" s="92" t="s">
        <v>60</v>
      </c>
      <c r="N25" s="79">
        <f t="shared" ref="N25:N27" si="15">L25/G25*100</f>
        <v>0</v>
      </c>
      <c r="O25" s="527"/>
    </row>
    <row r="26" spans="1:15" s="509" customFormat="1" ht="27" customHeight="1" x14ac:dyDescent="0.2">
      <c r="A26" s="1300"/>
      <c r="B26" s="1395"/>
      <c r="C26" s="638" t="s">
        <v>257</v>
      </c>
      <c r="D26" s="74">
        <v>0</v>
      </c>
      <c r="E26" s="99">
        <v>2</v>
      </c>
      <c r="F26" s="74">
        <v>0</v>
      </c>
      <c r="G26" s="853">
        <v>0</v>
      </c>
      <c r="H26" s="75">
        <v>0</v>
      </c>
      <c r="I26" s="83">
        <v>0</v>
      </c>
      <c r="J26" s="1014">
        <v>0</v>
      </c>
      <c r="K26" s="1061">
        <v>0</v>
      </c>
      <c r="L26" s="1011">
        <f t="shared" si="10"/>
        <v>0</v>
      </c>
      <c r="M26" s="92" t="s">
        <v>60</v>
      </c>
      <c r="N26" s="79" t="s">
        <v>60</v>
      </c>
      <c r="O26" s="527"/>
    </row>
    <row r="27" spans="1:15" s="509" customFormat="1" ht="15" customHeight="1" x14ac:dyDescent="0.2">
      <c r="A27" s="1300"/>
      <c r="B27" s="1396"/>
      <c r="C27" s="644" t="s">
        <v>242</v>
      </c>
      <c r="D27" s="94">
        <v>0</v>
      </c>
      <c r="E27" s="93">
        <v>14.88</v>
      </c>
      <c r="F27" s="94">
        <v>0</v>
      </c>
      <c r="G27" s="81">
        <v>802.94</v>
      </c>
      <c r="H27" s="95">
        <v>802.75</v>
      </c>
      <c r="I27" s="83">
        <v>0</v>
      </c>
      <c r="J27" s="1014">
        <v>0</v>
      </c>
      <c r="K27" s="1061">
        <v>0</v>
      </c>
      <c r="L27" s="1011">
        <f t="shared" si="10"/>
        <v>0</v>
      </c>
      <c r="M27" s="92" t="s">
        <v>60</v>
      </c>
      <c r="N27" s="79">
        <f t="shared" si="15"/>
        <v>0</v>
      </c>
      <c r="O27" s="527"/>
    </row>
    <row r="28" spans="1:15" ht="15" customHeight="1" x14ac:dyDescent="0.2">
      <c r="A28" s="1300"/>
      <c r="B28" s="1389" t="s">
        <v>96</v>
      </c>
      <c r="C28" s="638" t="s">
        <v>151</v>
      </c>
      <c r="D28" s="94">
        <v>3109</v>
      </c>
      <c r="E28" s="93">
        <v>1618.33</v>
      </c>
      <c r="F28" s="94">
        <v>1200</v>
      </c>
      <c r="G28" s="81">
        <v>13372.78</v>
      </c>
      <c r="H28" s="95">
        <v>9796.7900000000009</v>
      </c>
      <c r="I28" s="83">
        <v>1000</v>
      </c>
      <c r="J28" s="1014">
        <v>150</v>
      </c>
      <c r="K28" s="1061">
        <v>50</v>
      </c>
      <c r="L28" s="1011">
        <f>SUM(I28:K28)</f>
        <v>1200</v>
      </c>
      <c r="M28" s="92">
        <f t="shared" si="13"/>
        <v>100</v>
      </c>
      <c r="N28" s="79">
        <f t="shared" si="14"/>
        <v>8.9734520421333475</v>
      </c>
      <c r="O28" s="17"/>
    </row>
    <row r="29" spans="1:15" ht="15" customHeight="1" x14ac:dyDescent="0.2">
      <c r="A29" s="1321"/>
      <c r="B29" s="1390"/>
      <c r="C29" s="795" t="s">
        <v>416</v>
      </c>
      <c r="D29" s="83">
        <v>7188</v>
      </c>
      <c r="E29" s="82">
        <v>7451.78</v>
      </c>
      <c r="F29" s="83">
        <v>8280</v>
      </c>
      <c r="G29" s="414">
        <v>12389.9</v>
      </c>
      <c r="H29" s="95">
        <v>6126.17</v>
      </c>
      <c r="I29" s="83">
        <v>8280</v>
      </c>
      <c r="J29" s="1014">
        <v>0</v>
      </c>
      <c r="K29" s="1061">
        <v>0</v>
      </c>
      <c r="L29" s="1011">
        <f>SUM(I29:K29)</f>
        <v>8280</v>
      </c>
      <c r="M29" s="92">
        <f t="shared" si="13"/>
        <v>100</v>
      </c>
      <c r="N29" s="79">
        <f t="shared" si="14"/>
        <v>66.828626542587116</v>
      </c>
      <c r="O29" s="17"/>
    </row>
    <row r="30" spans="1:15" s="470" customFormat="1" ht="20.100000000000001" customHeight="1" x14ac:dyDescent="0.2">
      <c r="A30" s="522">
        <v>3636</v>
      </c>
      <c r="B30" s="1385" t="s">
        <v>119</v>
      </c>
      <c r="C30" s="1386"/>
      <c r="D30" s="477">
        <v>0</v>
      </c>
      <c r="E30" s="500">
        <v>0</v>
      </c>
      <c r="F30" s="525">
        <v>0</v>
      </c>
      <c r="G30" s="479">
        <v>224.46</v>
      </c>
      <c r="H30" s="486">
        <v>107.09</v>
      </c>
      <c r="I30" s="897">
        <v>0</v>
      </c>
      <c r="J30" s="513">
        <v>0</v>
      </c>
      <c r="K30" s="1057">
        <v>0</v>
      </c>
      <c r="L30" s="962">
        <f>SUM(I30:K30)</f>
        <v>0</v>
      </c>
      <c r="M30" s="459" t="s">
        <v>60</v>
      </c>
      <c r="N30" s="460">
        <f t="shared" si="14"/>
        <v>0</v>
      </c>
      <c r="O30" s="488"/>
    </row>
    <row r="31" spans="1:15" s="509" customFormat="1" ht="20.100000000000001" customHeight="1" x14ac:dyDescent="0.2">
      <c r="A31" s="1299">
        <v>6172</v>
      </c>
      <c r="B31" s="1293" t="s">
        <v>105</v>
      </c>
      <c r="C31" s="1294"/>
      <c r="D31" s="512">
        <f t="shared" ref="D31:K31" si="16">SUM(D32:D34)</f>
        <v>6500</v>
      </c>
      <c r="E31" s="555">
        <f t="shared" si="16"/>
        <v>4232.7299999999996</v>
      </c>
      <c r="F31" s="512">
        <f t="shared" si="16"/>
        <v>5000</v>
      </c>
      <c r="G31" s="516">
        <f t="shared" si="16"/>
        <v>34694.68</v>
      </c>
      <c r="H31" s="555">
        <f t="shared" si="16"/>
        <v>4592.25</v>
      </c>
      <c r="I31" s="512">
        <f t="shared" si="16"/>
        <v>9000</v>
      </c>
      <c r="J31" s="834">
        <f t="shared" si="16"/>
        <v>0</v>
      </c>
      <c r="K31" s="834">
        <f t="shared" si="16"/>
        <v>0</v>
      </c>
      <c r="L31" s="962">
        <f>SUM(I31:K31)</f>
        <v>9000</v>
      </c>
      <c r="M31" s="459">
        <f>L31/F31*100</f>
        <v>180</v>
      </c>
      <c r="N31" s="460">
        <f>L31/G31*100</f>
        <v>25.94057648031341</v>
      </c>
    </row>
    <row r="32" spans="1:15" s="509" customFormat="1" ht="15" customHeight="1" x14ac:dyDescent="0.2">
      <c r="A32" s="1300"/>
      <c r="B32" s="1318" t="s">
        <v>96</v>
      </c>
      <c r="C32" s="644" t="s">
        <v>457</v>
      </c>
      <c r="D32" s="94">
        <v>0</v>
      </c>
      <c r="E32" s="93">
        <v>18.04</v>
      </c>
      <c r="F32" s="94">
        <v>0</v>
      </c>
      <c r="G32" s="81">
        <v>25728.3</v>
      </c>
      <c r="H32" s="95">
        <v>38.11</v>
      </c>
      <c r="I32" s="83">
        <v>0</v>
      </c>
      <c r="J32" s="1014">
        <v>0</v>
      </c>
      <c r="K32" s="1061">
        <v>0</v>
      </c>
      <c r="L32" s="1011">
        <f t="shared" ref="L32:L34" si="17">SUM(I32:K32)</f>
        <v>0</v>
      </c>
      <c r="M32" s="92" t="s">
        <v>60</v>
      </c>
      <c r="N32" s="79">
        <f t="shared" ref="N32" si="18">L32/G32*100</f>
        <v>0</v>
      </c>
    </row>
    <row r="33" spans="1:15" s="509" customFormat="1" ht="27.75" customHeight="1" x14ac:dyDescent="0.2">
      <c r="A33" s="1300"/>
      <c r="B33" s="1319"/>
      <c r="C33" s="638" t="s">
        <v>317</v>
      </c>
      <c r="D33" s="91">
        <v>0</v>
      </c>
      <c r="E33" s="75">
        <v>0</v>
      </c>
      <c r="F33" s="91">
        <v>0</v>
      </c>
      <c r="G33" s="76">
        <v>0</v>
      </c>
      <c r="H33" s="131">
        <v>50</v>
      </c>
      <c r="I33" s="872">
        <v>0</v>
      </c>
      <c r="J33" s="963">
        <v>0</v>
      </c>
      <c r="K33" s="1063">
        <v>0</v>
      </c>
      <c r="L33" s="1011">
        <f t="shared" si="17"/>
        <v>0</v>
      </c>
      <c r="M33" s="92" t="s">
        <v>60</v>
      </c>
      <c r="N33" s="79" t="s">
        <v>60</v>
      </c>
    </row>
    <row r="34" spans="1:15" s="509" customFormat="1" ht="27" customHeight="1" thickBot="1" x14ac:dyDescent="0.25">
      <c r="A34" s="1391"/>
      <c r="B34" s="1392"/>
      <c r="C34" s="638" t="s">
        <v>257</v>
      </c>
      <c r="D34" s="777">
        <v>6500</v>
      </c>
      <c r="E34" s="778">
        <v>4214.6899999999996</v>
      </c>
      <c r="F34" s="940">
        <v>5000</v>
      </c>
      <c r="G34" s="779">
        <v>8966.3799999999992</v>
      </c>
      <c r="H34" s="780">
        <v>4504.1400000000003</v>
      </c>
      <c r="I34" s="1154">
        <v>9000</v>
      </c>
      <c r="J34" s="1064">
        <v>0</v>
      </c>
      <c r="K34" s="1065">
        <v>0</v>
      </c>
      <c r="L34" s="1066">
        <f t="shared" si="17"/>
        <v>9000</v>
      </c>
      <c r="M34" s="92">
        <f t="shared" ref="M34" si="19">L34/F34*100</f>
        <v>180</v>
      </c>
      <c r="N34" s="79">
        <f t="shared" ref="N34" si="20">L34/G34*100</f>
        <v>100.37495622536632</v>
      </c>
    </row>
    <row r="35" spans="1:15" s="19" customFormat="1" ht="20.100000000000001" customHeight="1" thickBot="1" x14ac:dyDescent="0.3">
      <c r="A35" s="190"/>
      <c r="B35" s="401" t="s">
        <v>85</v>
      </c>
      <c r="C35" s="643"/>
      <c r="D35" s="181">
        <f>+D9+D19+D31</f>
        <v>20139</v>
      </c>
      <c r="E35" s="182">
        <f>+E9+E19+E31</f>
        <v>27556.880000000001</v>
      </c>
      <c r="F35" s="181">
        <f>+F9+F19+F31</f>
        <v>20340</v>
      </c>
      <c r="G35" s="183">
        <f t="shared" ref="G35:L35" si="21">+G9+G19+G30+G31</f>
        <v>78582.799999999988</v>
      </c>
      <c r="H35" s="182">
        <f t="shared" si="21"/>
        <v>29881.48</v>
      </c>
      <c r="I35" s="181">
        <f t="shared" si="21"/>
        <v>23949</v>
      </c>
      <c r="J35" s="956">
        <f t="shared" si="21"/>
        <v>277</v>
      </c>
      <c r="K35" s="191">
        <f t="shared" si="21"/>
        <v>114</v>
      </c>
      <c r="L35" s="981">
        <f t="shared" si="21"/>
        <v>24340</v>
      </c>
      <c r="M35" s="192">
        <f>L35/F35*100</f>
        <v>119.66568338249755</v>
      </c>
      <c r="N35" s="185">
        <f>L35/G35*100</f>
        <v>30.973699079187817</v>
      </c>
      <c r="O35" s="18"/>
    </row>
    <row r="36" spans="1:15" ht="15" customHeight="1" x14ac:dyDescent="0.25">
      <c r="A36" s="20"/>
      <c r="B36" s="20"/>
      <c r="C36" s="20"/>
      <c r="D36" s="168"/>
      <c r="E36" s="167"/>
      <c r="F36" s="168"/>
      <c r="I36" s="23"/>
      <c r="J36" s="23"/>
      <c r="K36" s="23"/>
      <c r="L36" s="23"/>
      <c r="M36" s="24"/>
      <c r="N36" s="25"/>
      <c r="O36" s="17"/>
    </row>
    <row r="37" spans="1:15" x14ac:dyDescent="0.2">
      <c r="D37" s="3"/>
      <c r="F37" s="3"/>
      <c r="L37" s="3"/>
      <c r="M37" s="3"/>
    </row>
    <row r="38" spans="1:15" x14ac:dyDescent="0.2">
      <c r="D38" s="3"/>
      <c r="F38" s="3"/>
      <c r="L38" s="3"/>
      <c r="M38" s="1152"/>
    </row>
    <row r="40" spans="1:15" x14ac:dyDescent="0.2">
      <c r="B40"/>
    </row>
    <row r="41" spans="1:15" x14ac:dyDescent="0.2">
      <c r="B41"/>
    </row>
    <row r="42" spans="1:15" ht="15.75" x14ac:dyDescent="0.2">
      <c r="A42" s="958"/>
      <c r="B42"/>
    </row>
    <row r="43" spans="1:15" ht="15.75" x14ac:dyDescent="0.2">
      <c r="A43" s="959"/>
      <c r="B43"/>
    </row>
    <row r="44" spans="1:15" ht="15.75" x14ac:dyDescent="0.2">
      <c r="A44" s="958"/>
      <c r="B44"/>
    </row>
    <row r="45" spans="1:15" ht="15.75" x14ac:dyDescent="0.2">
      <c r="A45" s="958"/>
      <c r="B45" s="958"/>
    </row>
    <row r="46" spans="1:15" ht="15.75" x14ac:dyDescent="0.2">
      <c r="A46" s="958"/>
      <c r="B46" s="958"/>
    </row>
    <row r="47" spans="1:15" ht="15.75" x14ac:dyDescent="0.2">
      <c r="A47" s="958"/>
      <c r="B47" s="958"/>
    </row>
    <row r="48" spans="1:15" ht="15.75" x14ac:dyDescent="0.2">
      <c r="A48" s="958"/>
      <c r="B48" s="958"/>
    </row>
    <row r="49" spans="1:2" ht="15.75" x14ac:dyDescent="0.2">
      <c r="A49" s="958"/>
      <c r="B49" s="958"/>
    </row>
    <row r="50" spans="1:2" ht="15.75" x14ac:dyDescent="0.2">
      <c r="A50" s="958"/>
      <c r="B50" s="958"/>
    </row>
    <row r="51" spans="1:2" ht="15.75" x14ac:dyDescent="0.2">
      <c r="A51" s="958"/>
      <c r="B51" s="958"/>
    </row>
    <row r="52" spans="1:2" ht="15.75" x14ac:dyDescent="0.2">
      <c r="A52" s="958"/>
      <c r="B52" s="958"/>
    </row>
    <row r="53" spans="1:2" ht="15.75" x14ac:dyDescent="0.2">
      <c r="A53" s="958"/>
      <c r="B53"/>
    </row>
    <row r="54" spans="1:2" ht="15.75" x14ac:dyDescent="0.2">
      <c r="A54" s="958"/>
      <c r="B54"/>
    </row>
    <row r="55" spans="1:2" ht="15.75" x14ac:dyDescent="0.2">
      <c r="A55" s="959"/>
      <c r="B55"/>
    </row>
    <row r="56" spans="1:2" ht="15.75" x14ac:dyDescent="0.2">
      <c r="A56" s="958"/>
      <c r="B56"/>
    </row>
    <row r="57" spans="1:2" ht="15.75" x14ac:dyDescent="0.2">
      <c r="A57" s="958"/>
      <c r="B57"/>
    </row>
    <row r="58" spans="1:2" ht="15.75" x14ac:dyDescent="0.2">
      <c r="A58" s="958"/>
      <c r="B58"/>
    </row>
    <row r="59" spans="1:2" ht="15.75" x14ac:dyDescent="0.2">
      <c r="A59" s="958"/>
      <c r="B59"/>
    </row>
    <row r="60" spans="1:2" ht="15.75" x14ac:dyDescent="0.2">
      <c r="A60" s="958"/>
      <c r="B60"/>
    </row>
    <row r="61" spans="1:2" ht="15.75" x14ac:dyDescent="0.2">
      <c r="A61" s="958"/>
      <c r="B61"/>
    </row>
    <row r="62" spans="1:2" ht="15.75" x14ac:dyDescent="0.2">
      <c r="A62" s="958"/>
      <c r="B62"/>
    </row>
    <row r="63" spans="1:2" ht="15.75" x14ac:dyDescent="0.2">
      <c r="A63" s="959"/>
      <c r="B63"/>
    </row>
    <row r="64" spans="1:2" ht="15.75" x14ac:dyDescent="0.2">
      <c r="A64" s="958"/>
      <c r="B64"/>
    </row>
  </sheetData>
  <mergeCells count="20">
    <mergeCell ref="A9:A18"/>
    <mergeCell ref="A19:A29"/>
    <mergeCell ref="B17:B18"/>
    <mergeCell ref="B28:B29"/>
    <mergeCell ref="A31:A34"/>
    <mergeCell ref="B32:B34"/>
    <mergeCell ref="B31:C31"/>
    <mergeCell ref="B19:C19"/>
    <mergeCell ref="B9:C9"/>
    <mergeCell ref="B10:B16"/>
    <mergeCell ref="B20:B27"/>
    <mergeCell ref="B30:C30"/>
    <mergeCell ref="A2:N2"/>
    <mergeCell ref="A6:A7"/>
    <mergeCell ref="D6:E6"/>
    <mergeCell ref="F6:H6"/>
    <mergeCell ref="I6:L6"/>
    <mergeCell ref="M6:M7"/>
    <mergeCell ref="N6:N7"/>
    <mergeCell ref="B6:C7"/>
  </mergeCells>
  <phoneticPr fontId="8" type="noConversion"/>
  <dataValidations count="1">
    <dataValidation type="whole" operator="greaterThanOrEqual" allowBlank="1" showInputMessage="1" showErrorMessage="1" error="Nutno zadat celé číslo" sqref="I15:K16" xr:uid="{D0C15F7A-694E-48A7-B259-BEC8A374E1F2}">
      <formula1>0</formula1>
    </dataValidation>
  </dataValidation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V42"/>
  <sheetViews>
    <sheetView workbookViewId="0"/>
  </sheetViews>
  <sheetFormatPr defaultRowHeight="12.75" x14ac:dyDescent="0.2"/>
  <cols>
    <col min="1" max="1" width="7.7109375" style="1" customWidth="1"/>
    <col min="2" max="2" width="46.7109375" style="1" customWidth="1"/>
    <col min="3" max="3" width="14.7109375" style="2" customWidth="1"/>
    <col min="4" max="4" width="14.7109375" style="3" customWidth="1"/>
    <col min="5" max="5" width="14.7109375" style="2" customWidth="1"/>
    <col min="6" max="6" width="16.140625" style="3" customWidth="1"/>
    <col min="7" max="8" width="14.7109375" style="3" customWidth="1"/>
    <col min="9" max="9" width="15.42578125" style="3" customWidth="1"/>
    <col min="10" max="10" width="14.7109375" style="3" customWidth="1"/>
    <col min="11" max="11" width="14.7109375" style="787" customWidth="1"/>
    <col min="12" max="13" width="9.7109375" style="5" customWidth="1"/>
    <col min="14" max="256" width="9.140625" style="1"/>
    <col min="257" max="257" width="8.7109375" style="1" customWidth="1"/>
    <col min="258" max="258" width="41.5703125" style="1" customWidth="1"/>
    <col min="259" max="259" width="13.28515625" style="1" customWidth="1"/>
    <col min="260" max="260" width="14.7109375" style="1" customWidth="1"/>
    <col min="261" max="261" width="13.42578125" style="1" customWidth="1"/>
    <col min="262" max="266" width="14.7109375" style="1" customWidth="1"/>
    <col min="267" max="267" width="16.7109375" style="1" customWidth="1"/>
    <col min="268" max="268" width="9.85546875" style="1" customWidth="1"/>
    <col min="269" max="269" width="7.42578125" style="1" customWidth="1"/>
    <col min="270" max="512" width="9.140625" style="1"/>
    <col min="513" max="513" width="8.7109375" style="1" customWidth="1"/>
    <col min="514" max="514" width="41.5703125" style="1" customWidth="1"/>
    <col min="515" max="515" width="13.28515625" style="1" customWidth="1"/>
    <col min="516" max="516" width="14.7109375" style="1" customWidth="1"/>
    <col min="517" max="517" width="13.42578125" style="1" customWidth="1"/>
    <col min="518" max="522" width="14.7109375" style="1" customWidth="1"/>
    <col min="523" max="523" width="16.7109375" style="1" customWidth="1"/>
    <col min="524" max="524" width="9.85546875" style="1" customWidth="1"/>
    <col min="525" max="525" width="7.42578125" style="1" customWidth="1"/>
    <col min="526" max="768" width="9.140625" style="1"/>
    <col min="769" max="769" width="8.7109375" style="1" customWidth="1"/>
    <col min="770" max="770" width="41.5703125" style="1" customWidth="1"/>
    <col min="771" max="771" width="13.28515625" style="1" customWidth="1"/>
    <col min="772" max="772" width="14.7109375" style="1" customWidth="1"/>
    <col min="773" max="773" width="13.42578125" style="1" customWidth="1"/>
    <col min="774" max="778" width="14.7109375" style="1" customWidth="1"/>
    <col min="779" max="779" width="16.7109375" style="1" customWidth="1"/>
    <col min="780" max="780" width="9.85546875" style="1" customWidth="1"/>
    <col min="781" max="781" width="7.42578125" style="1" customWidth="1"/>
    <col min="782" max="1024" width="9.140625" style="1"/>
    <col min="1025" max="1025" width="8.7109375" style="1" customWidth="1"/>
    <col min="1026" max="1026" width="41.5703125" style="1" customWidth="1"/>
    <col min="1027" max="1027" width="13.28515625" style="1" customWidth="1"/>
    <col min="1028" max="1028" width="14.7109375" style="1" customWidth="1"/>
    <col min="1029" max="1029" width="13.42578125" style="1" customWidth="1"/>
    <col min="1030" max="1034" width="14.7109375" style="1" customWidth="1"/>
    <col min="1035" max="1035" width="16.7109375" style="1" customWidth="1"/>
    <col min="1036" max="1036" width="9.85546875" style="1" customWidth="1"/>
    <col min="1037" max="1037" width="7.42578125" style="1" customWidth="1"/>
    <col min="1038" max="1280" width="9.140625" style="1"/>
    <col min="1281" max="1281" width="8.7109375" style="1" customWidth="1"/>
    <col min="1282" max="1282" width="41.5703125" style="1" customWidth="1"/>
    <col min="1283" max="1283" width="13.28515625" style="1" customWidth="1"/>
    <col min="1284" max="1284" width="14.7109375" style="1" customWidth="1"/>
    <col min="1285" max="1285" width="13.42578125" style="1" customWidth="1"/>
    <col min="1286" max="1290" width="14.7109375" style="1" customWidth="1"/>
    <col min="1291" max="1291" width="16.7109375" style="1" customWidth="1"/>
    <col min="1292" max="1292" width="9.85546875" style="1" customWidth="1"/>
    <col min="1293" max="1293" width="7.42578125" style="1" customWidth="1"/>
    <col min="1294" max="1536" width="9.140625" style="1"/>
    <col min="1537" max="1537" width="8.7109375" style="1" customWidth="1"/>
    <col min="1538" max="1538" width="41.5703125" style="1" customWidth="1"/>
    <col min="1539" max="1539" width="13.28515625" style="1" customWidth="1"/>
    <col min="1540" max="1540" width="14.7109375" style="1" customWidth="1"/>
    <col min="1541" max="1541" width="13.42578125" style="1" customWidth="1"/>
    <col min="1542" max="1546" width="14.7109375" style="1" customWidth="1"/>
    <col min="1547" max="1547" width="16.7109375" style="1" customWidth="1"/>
    <col min="1548" max="1548" width="9.85546875" style="1" customWidth="1"/>
    <col min="1549" max="1549" width="7.42578125" style="1" customWidth="1"/>
    <col min="1550" max="1792" width="9.140625" style="1"/>
    <col min="1793" max="1793" width="8.7109375" style="1" customWidth="1"/>
    <col min="1794" max="1794" width="41.5703125" style="1" customWidth="1"/>
    <col min="1795" max="1795" width="13.28515625" style="1" customWidth="1"/>
    <col min="1796" max="1796" width="14.7109375" style="1" customWidth="1"/>
    <col min="1797" max="1797" width="13.42578125" style="1" customWidth="1"/>
    <col min="1798" max="1802" width="14.7109375" style="1" customWidth="1"/>
    <col min="1803" max="1803" width="16.7109375" style="1" customWidth="1"/>
    <col min="1804" max="1804" width="9.85546875" style="1" customWidth="1"/>
    <col min="1805" max="1805" width="7.42578125" style="1" customWidth="1"/>
    <col min="1806" max="2048" width="9.140625" style="1"/>
    <col min="2049" max="2049" width="8.7109375" style="1" customWidth="1"/>
    <col min="2050" max="2050" width="41.5703125" style="1" customWidth="1"/>
    <col min="2051" max="2051" width="13.28515625" style="1" customWidth="1"/>
    <col min="2052" max="2052" width="14.7109375" style="1" customWidth="1"/>
    <col min="2053" max="2053" width="13.42578125" style="1" customWidth="1"/>
    <col min="2054" max="2058" width="14.7109375" style="1" customWidth="1"/>
    <col min="2059" max="2059" width="16.7109375" style="1" customWidth="1"/>
    <col min="2060" max="2060" width="9.85546875" style="1" customWidth="1"/>
    <col min="2061" max="2061" width="7.42578125" style="1" customWidth="1"/>
    <col min="2062" max="2304" width="9.140625" style="1"/>
    <col min="2305" max="2305" width="8.7109375" style="1" customWidth="1"/>
    <col min="2306" max="2306" width="41.5703125" style="1" customWidth="1"/>
    <col min="2307" max="2307" width="13.28515625" style="1" customWidth="1"/>
    <col min="2308" max="2308" width="14.7109375" style="1" customWidth="1"/>
    <col min="2309" max="2309" width="13.42578125" style="1" customWidth="1"/>
    <col min="2310" max="2314" width="14.7109375" style="1" customWidth="1"/>
    <col min="2315" max="2315" width="16.7109375" style="1" customWidth="1"/>
    <col min="2316" max="2316" width="9.85546875" style="1" customWidth="1"/>
    <col min="2317" max="2317" width="7.42578125" style="1" customWidth="1"/>
    <col min="2318" max="2560" width="9.140625" style="1"/>
    <col min="2561" max="2561" width="8.7109375" style="1" customWidth="1"/>
    <col min="2562" max="2562" width="41.5703125" style="1" customWidth="1"/>
    <col min="2563" max="2563" width="13.28515625" style="1" customWidth="1"/>
    <col min="2564" max="2564" width="14.7109375" style="1" customWidth="1"/>
    <col min="2565" max="2565" width="13.42578125" style="1" customWidth="1"/>
    <col min="2566" max="2570" width="14.7109375" style="1" customWidth="1"/>
    <col min="2571" max="2571" width="16.7109375" style="1" customWidth="1"/>
    <col min="2572" max="2572" width="9.85546875" style="1" customWidth="1"/>
    <col min="2573" max="2573" width="7.42578125" style="1" customWidth="1"/>
    <col min="2574" max="2816" width="9.140625" style="1"/>
    <col min="2817" max="2817" width="8.7109375" style="1" customWidth="1"/>
    <col min="2818" max="2818" width="41.5703125" style="1" customWidth="1"/>
    <col min="2819" max="2819" width="13.28515625" style="1" customWidth="1"/>
    <col min="2820" max="2820" width="14.7109375" style="1" customWidth="1"/>
    <col min="2821" max="2821" width="13.42578125" style="1" customWidth="1"/>
    <col min="2822" max="2826" width="14.7109375" style="1" customWidth="1"/>
    <col min="2827" max="2827" width="16.7109375" style="1" customWidth="1"/>
    <col min="2828" max="2828" width="9.85546875" style="1" customWidth="1"/>
    <col min="2829" max="2829" width="7.42578125" style="1" customWidth="1"/>
    <col min="2830" max="3072" width="9.140625" style="1"/>
    <col min="3073" max="3073" width="8.7109375" style="1" customWidth="1"/>
    <col min="3074" max="3074" width="41.5703125" style="1" customWidth="1"/>
    <col min="3075" max="3075" width="13.28515625" style="1" customWidth="1"/>
    <col min="3076" max="3076" width="14.7109375" style="1" customWidth="1"/>
    <col min="3077" max="3077" width="13.42578125" style="1" customWidth="1"/>
    <col min="3078" max="3082" width="14.7109375" style="1" customWidth="1"/>
    <col min="3083" max="3083" width="16.7109375" style="1" customWidth="1"/>
    <col min="3084" max="3084" width="9.85546875" style="1" customWidth="1"/>
    <col min="3085" max="3085" width="7.42578125" style="1" customWidth="1"/>
    <col min="3086" max="3328" width="9.140625" style="1"/>
    <col min="3329" max="3329" width="8.7109375" style="1" customWidth="1"/>
    <col min="3330" max="3330" width="41.5703125" style="1" customWidth="1"/>
    <col min="3331" max="3331" width="13.28515625" style="1" customWidth="1"/>
    <col min="3332" max="3332" width="14.7109375" style="1" customWidth="1"/>
    <col min="3333" max="3333" width="13.42578125" style="1" customWidth="1"/>
    <col min="3334" max="3338" width="14.7109375" style="1" customWidth="1"/>
    <col min="3339" max="3339" width="16.7109375" style="1" customWidth="1"/>
    <col min="3340" max="3340" width="9.85546875" style="1" customWidth="1"/>
    <col min="3341" max="3341" width="7.42578125" style="1" customWidth="1"/>
    <col min="3342" max="3584" width="9.140625" style="1"/>
    <col min="3585" max="3585" width="8.7109375" style="1" customWidth="1"/>
    <col min="3586" max="3586" width="41.5703125" style="1" customWidth="1"/>
    <col min="3587" max="3587" width="13.28515625" style="1" customWidth="1"/>
    <col min="3588" max="3588" width="14.7109375" style="1" customWidth="1"/>
    <col min="3589" max="3589" width="13.42578125" style="1" customWidth="1"/>
    <col min="3590" max="3594" width="14.7109375" style="1" customWidth="1"/>
    <col min="3595" max="3595" width="16.7109375" style="1" customWidth="1"/>
    <col min="3596" max="3596" width="9.85546875" style="1" customWidth="1"/>
    <col min="3597" max="3597" width="7.42578125" style="1" customWidth="1"/>
    <col min="3598" max="3840" width="9.140625" style="1"/>
    <col min="3841" max="3841" width="8.7109375" style="1" customWidth="1"/>
    <col min="3842" max="3842" width="41.5703125" style="1" customWidth="1"/>
    <col min="3843" max="3843" width="13.28515625" style="1" customWidth="1"/>
    <col min="3844" max="3844" width="14.7109375" style="1" customWidth="1"/>
    <col min="3845" max="3845" width="13.42578125" style="1" customWidth="1"/>
    <col min="3846" max="3850" width="14.7109375" style="1" customWidth="1"/>
    <col min="3851" max="3851" width="16.7109375" style="1" customWidth="1"/>
    <col min="3852" max="3852" width="9.85546875" style="1" customWidth="1"/>
    <col min="3853" max="3853" width="7.42578125" style="1" customWidth="1"/>
    <col min="3854" max="4096" width="9.140625" style="1"/>
    <col min="4097" max="4097" width="8.7109375" style="1" customWidth="1"/>
    <col min="4098" max="4098" width="41.5703125" style="1" customWidth="1"/>
    <col min="4099" max="4099" width="13.28515625" style="1" customWidth="1"/>
    <col min="4100" max="4100" width="14.7109375" style="1" customWidth="1"/>
    <col min="4101" max="4101" width="13.42578125" style="1" customWidth="1"/>
    <col min="4102" max="4106" width="14.7109375" style="1" customWidth="1"/>
    <col min="4107" max="4107" width="16.7109375" style="1" customWidth="1"/>
    <col min="4108" max="4108" width="9.85546875" style="1" customWidth="1"/>
    <col min="4109" max="4109" width="7.42578125" style="1" customWidth="1"/>
    <col min="4110" max="4352" width="9.140625" style="1"/>
    <col min="4353" max="4353" width="8.7109375" style="1" customWidth="1"/>
    <col min="4354" max="4354" width="41.5703125" style="1" customWidth="1"/>
    <col min="4355" max="4355" width="13.28515625" style="1" customWidth="1"/>
    <col min="4356" max="4356" width="14.7109375" style="1" customWidth="1"/>
    <col min="4357" max="4357" width="13.42578125" style="1" customWidth="1"/>
    <col min="4358" max="4362" width="14.7109375" style="1" customWidth="1"/>
    <col min="4363" max="4363" width="16.7109375" style="1" customWidth="1"/>
    <col min="4364" max="4364" width="9.85546875" style="1" customWidth="1"/>
    <col min="4365" max="4365" width="7.42578125" style="1" customWidth="1"/>
    <col min="4366" max="4608" width="9.140625" style="1"/>
    <col min="4609" max="4609" width="8.7109375" style="1" customWidth="1"/>
    <col min="4610" max="4610" width="41.5703125" style="1" customWidth="1"/>
    <col min="4611" max="4611" width="13.28515625" style="1" customWidth="1"/>
    <col min="4612" max="4612" width="14.7109375" style="1" customWidth="1"/>
    <col min="4613" max="4613" width="13.42578125" style="1" customWidth="1"/>
    <col min="4614" max="4618" width="14.7109375" style="1" customWidth="1"/>
    <col min="4619" max="4619" width="16.7109375" style="1" customWidth="1"/>
    <col min="4620" max="4620" width="9.85546875" style="1" customWidth="1"/>
    <col min="4621" max="4621" width="7.42578125" style="1" customWidth="1"/>
    <col min="4622" max="4864" width="9.140625" style="1"/>
    <col min="4865" max="4865" width="8.7109375" style="1" customWidth="1"/>
    <col min="4866" max="4866" width="41.5703125" style="1" customWidth="1"/>
    <col min="4867" max="4867" width="13.28515625" style="1" customWidth="1"/>
    <col min="4868" max="4868" width="14.7109375" style="1" customWidth="1"/>
    <col min="4869" max="4869" width="13.42578125" style="1" customWidth="1"/>
    <col min="4870" max="4874" width="14.7109375" style="1" customWidth="1"/>
    <col min="4875" max="4875" width="16.7109375" style="1" customWidth="1"/>
    <col min="4876" max="4876" width="9.85546875" style="1" customWidth="1"/>
    <col min="4877" max="4877" width="7.42578125" style="1" customWidth="1"/>
    <col min="4878" max="5120" width="9.140625" style="1"/>
    <col min="5121" max="5121" width="8.7109375" style="1" customWidth="1"/>
    <col min="5122" max="5122" width="41.5703125" style="1" customWidth="1"/>
    <col min="5123" max="5123" width="13.28515625" style="1" customWidth="1"/>
    <col min="5124" max="5124" width="14.7109375" style="1" customWidth="1"/>
    <col min="5125" max="5125" width="13.42578125" style="1" customWidth="1"/>
    <col min="5126" max="5130" width="14.7109375" style="1" customWidth="1"/>
    <col min="5131" max="5131" width="16.7109375" style="1" customWidth="1"/>
    <col min="5132" max="5132" width="9.85546875" style="1" customWidth="1"/>
    <col min="5133" max="5133" width="7.42578125" style="1" customWidth="1"/>
    <col min="5134" max="5376" width="9.140625" style="1"/>
    <col min="5377" max="5377" width="8.7109375" style="1" customWidth="1"/>
    <col min="5378" max="5378" width="41.5703125" style="1" customWidth="1"/>
    <col min="5379" max="5379" width="13.28515625" style="1" customWidth="1"/>
    <col min="5380" max="5380" width="14.7109375" style="1" customWidth="1"/>
    <col min="5381" max="5381" width="13.42578125" style="1" customWidth="1"/>
    <col min="5382" max="5386" width="14.7109375" style="1" customWidth="1"/>
    <col min="5387" max="5387" width="16.7109375" style="1" customWidth="1"/>
    <col min="5388" max="5388" width="9.85546875" style="1" customWidth="1"/>
    <col min="5389" max="5389" width="7.42578125" style="1" customWidth="1"/>
    <col min="5390" max="5632" width="9.140625" style="1"/>
    <col min="5633" max="5633" width="8.7109375" style="1" customWidth="1"/>
    <col min="5634" max="5634" width="41.5703125" style="1" customWidth="1"/>
    <col min="5635" max="5635" width="13.28515625" style="1" customWidth="1"/>
    <col min="5636" max="5636" width="14.7109375" style="1" customWidth="1"/>
    <col min="5637" max="5637" width="13.42578125" style="1" customWidth="1"/>
    <col min="5638" max="5642" width="14.7109375" style="1" customWidth="1"/>
    <col min="5643" max="5643" width="16.7109375" style="1" customWidth="1"/>
    <col min="5644" max="5644" width="9.85546875" style="1" customWidth="1"/>
    <col min="5645" max="5645" width="7.42578125" style="1" customWidth="1"/>
    <col min="5646" max="5888" width="9.140625" style="1"/>
    <col min="5889" max="5889" width="8.7109375" style="1" customWidth="1"/>
    <col min="5890" max="5890" width="41.5703125" style="1" customWidth="1"/>
    <col min="5891" max="5891" width="13.28515625" style="1" customWidth="1"/>
    <col min="5892" max="5892" width="14.7109375" style="1" customWidth="1"/>
    <col min="5893" max="5893" width="13.42578125" style="1" customWidth="1"/>
    <col min="5894" max="5898" width="14.7109375" style="1" customWidth="1"/>
    <col min="5899" max="5899" width="16.7109375" style="1" customWidth="1"/>
    <col min="5900" max="5900" width="9.85546875" style="1" customWidth="1"/>
    <col min="5901" max="5901" width="7.42578125" style="1" customWidth="1"/>
    <col min="5902" max="6144" width="9.140625" style="1"/>
    <col min="6145" max="6145" width="8.7109375" style="1" customWidth="1"/>
    <col min="6146" max="6146" width="41.5703125" style="1" customWidth="1"/>
    <col min="6147" max="6147" width="13.28515625" style="1" customWidth="1"/>
    <col min="6148" max="6148" width="14.7109375" style="1" customWidth="1"/>
    <col min="6149" max="6149" width="13.42578125" style="1" customWidth="1"/>
    <col min="6150" max="6154" width="14.7109375" style="1" customWidth="1"/>
    <col min="6155" max="6155" width="16.7109375" style="1" customWidth="1"/>
    <col min="6156" max="6156" width="9.85546875" style="1" customWidth="1"/>
    <col min="6157" max="6157" width="7.42578125" style="1" customWidth="1"/>
    <col min="6158" max="6400" width="9.140625" style="1"/>
    <col min="6401" max="6401" width="8.7109375" style="1" customWidth="1"/>
    <col min="6402" max="6402" width="41.5703125" style="1" customWidth="1"/>
    <col min="6403" max="6403" width="13.28515625" style="1" customWidth="1"/>
    <col min="6404" max="6404" width="14.7109375" style="1" customWidth="1"/>
    <col min="6405" max="6405" width="13.42578125" style="1" customWidth="1"/>
    <col min="6406" max="6410" width="14.7109375" style="1" customWidth="1"/>
    <col min="6411" max="6411" width="16.7109375" style="1" customWidth="1"/>
    <col min="6412" max="6412" width="9.85546875" style="1" customWidth="1"/>
    <col min="6413" max="6413" width="7.42578125" style="1" customWidth="1"/>
    <col min="6414" max="6656" width="9.140625" style="1"/>
    <col min="6657" max="6657" width="8.7109375" style="1" customWidth="1"/>
    <col min="6658" max="6658" width="41.5703125" style="1" customWidth="1"/>
    <col min="6659" max="6659" width="13.28515625" style="1" customWidth="1"/>
    <col min="6660" max="6660" width="14.7109375" style="1" customWidth="1"/>
    <col min="6661" max="6661" width="13.42578125" style="1" customWidth="1"/>
    <col min="6662" max="6666" width="14.7109375" style="1" customWidth="1"/>
    <col min="6667" max="6667" width="16.7109375" style="1" customWidth="1"/>
    <col min="6668" max="6668" width="9.85546875" style="1" customWidth="1"/>
    <col min="6669" max="6669" width="7.42578125" style="1" customWidth="1"/>
    <col min="6670" max="6912" width="9.140625" style="1"/>
    <col min="6913" max="6913" width="8.7109375" style="1" customWidth="1"/>
    <col min="6914" max="6914" width="41.5703125" style="1" customWidth="1"/>
    <col min="6915" max="6915" width="13.28515625" style="1" customWidth="1"/>
    <col min="6916" max="6916" width="14.7109375" style="1" customWidth="1"/>
    <col min="6917" max="6917" width="13.42578125" style="1" customWidth="1"/>
    <col min="6918" max="6922" width="14.7109375" style="1" customWidth="1"/>
    <col min="6923" max="6923" width="16.7109375" style="1" customWidth="1"/>
    <col min="6924" max="6924" width="9.85546875" style="1" customWidth="1"/>
    <col min="6925" max="6925" width="7.42578125" style="1" customWidth="1"/>
    <col min="6926" max="7168" width="9.140625" style="1"/>
    <col min="7169" max="7169" width="8.7109375" style="1" customWidth="1"/>
    <col min="7170" max="7170" width="41.5703125" style="1" customWidth="1"/>
    <col min="7171" max="7171" width="13.28515625" style="1" customWidth="1"/>
    <col min="7172" max="7172" width="14.7109375" style="1" customWidth="1"/>
    <col min="7173" max="7173" width="13.42578125" style="1" customWidth="1"/>
    <col min="7174" max="7178" width="14.7109375" style="1" customWidth="1"/>
    <col min="7179" max="7179" width="16.7109375" style="1" customWidth="1"/>
    <col min="7180" max="7180" width="9.85546875" style="1" customWidth="1"/>
    <col min="7181" max="7181" width="7.42578125" style="1" customWidth="1"/>
    <col min="7182" max="7424" width="9.140625" style="1"/>
    <col min="7425" max="7425" width="8.7109375" style="1" customWidth="1"/>
    <col min="7426" max="7426" width="41.5703125" style="1" customWidth="1"/>
    <col min="7427" max="7427" width="13.28515625" style="1" customWidth="1"/>
    <col min="7428" max="7428" width="14.7109375" style="1" customWidth="1"/>
    <col min="7429" max="7429" width="13.42578125" style="1" customWidth="1"/>
    <col min="7430" max="7434" width="14.7109375" style="1" customWidth="1"/>
    <col min="7435" max="7435" width="16.7109375" style="1" customWidth="1"/>
    <col min="7436" max="7436" width="9.85546875" style="1" customWidth="1"/>
    <col min="7437" max="7437" width="7.42578125" style="1" customWidth="1"/>
    <col min="7438" max="7680" width="9.140625" style="1"/>
    <col min="7681" max="7681" width="8.7109375" style="1" customWidth="1"/>
    <col min="7682" max="7682" width="41.5703125" style="1" customWidth="1"/>
    <col min="7683" max="7683" width="13.28515625" style="1" customWidth="1"/>
    <col min="7684" max="7684" width="14.7109375" style="1" customWidth="1"/>
    <col min="7685" max="7685" width="13.42578125" style="1" customWidth="1"/>
    <col min="7686" max="7690" width="14.7109375" style="1" customWidth="1"/>
    <col min="7691" max="7691" width="16.7109375" style="1" customWidth="1"/>
    <col min="7692" max="7692" width="9.85546875" style="1" customWidth="1"/>
    <col min="7693" max="7693" width="7.42578125" style="1" customWidth="1"/>
    <col min="7694" max="7936" width="9.140625" style="1"/>
    <col min="7937" max="7937" width="8.7109375" style="1" customWidth="1"/>
    <col min="7938" max="7938" width="41.5703125" style="1" customWidth="1"/>
    <col min="7939" max="7939" width="13.28515625" style="1" customWidth="1"/>
    <col min="7940" max="7940" width="14.7109375" style="1" customWidth="1"/>
    <col min="7941" max="7941" width="13.42578125" style="1" customWidth="1"/>
    <col min="7942" max="7946" width="14.7109375" style="1" customWidth="1"/>
    <col min="7947" max="7947" width="16.7109375" style="1" customWidth="1"/>
    <col min="7948" max="7948" width="9.85546875" style="1" customWidth="1"/>
    <col min="7949" max="7949" width="7.42578125" style="1" customWidth="1"/>
    <col min="7950" max="8192" width="9.140625" style="1"/>
    <col min="8193" max="8193" width="8.7109375" style="1" customWidth="1"/>
    <col min="8194" max="8194" width="41.5703125" style="1" customWidth="1"/>
    <col min="8195" max="8195" width="13.28515625" style="1" customWidth="1"/>
    <col min="8196" max="8196" width="14.7109375" style="1" customWidth="1"/>
    <col min="8197" max="8197" width="13.42578125" style="1" customWidth="1"/>
    <col min="8198" max="8202" width="14.7109375" style="1" customWidth="1"/>
    <col min="8203" max="8203" width="16.7109375" style="1" customWidth="1"/>
    <col min="8204" max="8204" width="9.85546875" style="1" customWidth="1"/>
    <col min="8205" max="8205" width="7.42578125" style="1" customWidth="1"/>
    <col min="8206" max="8448" width="9.140625" style="1"/>
    <col min="8449" max="8449" width="8.7109375" style="1" customWidth="1"/>
    <col min="8450" max="8450" width="41.5703125" style="1" customWidth="1"/>
    <col min="8451" max="8451" width="13.28515625" style="1" customWidth="1"/>
    <col min="8452" max="8452" width="14.7109375" style="1" customWidth="1"/>
    <col min="8453" max="8453" width="13.42578125" style="1" customWidth="1"/>
    <col min="8454" max="8458" width="14.7109375" style="1" customWidth="1"/>
    <col min="8459" max="8459" width="16.7109375" style="1" customWidth="1"/>
    <col min="8460" max="8460" width="9.85546875" style="1" customWidth="1"/>
    <col min="8461" max="8461" width="7.42578125" style="1" customWidth="1"/>
    <col min="8462" max="8704" width="9.140625" style="1"/>
    <col min="8705" max="8705" width="8.7109375" style="1" customWidth="1"/>
    <col min="8706" max="8706" width="41.5703125" style="1" customWidth="1"/>
    <col min="8707" max="8707" width="13.28515625" style="1" customWidth="1"/>
    <col min="8708" max="8708" width="14.7109375" style="1" customWidth="1"/>
    <col min="8709" max="8709" width="13.42578125" style="1" customWidth="1"/>
    <col min="8710" max="8714" width="14.7109375" style="1" customWidth="1"/>
    <col min="8715" max="8715" width="16.7109375" style="1" customWidth="1"/>
    <col min="8716" max="8716" width="9.85546875" style="1" customWidth="1"/>
    <col min="8717" max="8717" width="7.42578125" style="1" customWidth="1"/>
    <col min="8718" max="8960" width="9.140625" style="1"/>
    <col min="8961" max="8961" width="8.7109375" style="1" customWidth="1"/>
    <col min="8962" max="8962" width="41.5703125" style="1" customWidth="1"/>
    <col min="8963" max="8963" width="13.28515625" style="1" customWidth="1"/>
    <col min="8964" max="8964" width="14.7109375" style="1" customWidth="1"/>
    <col min="8965" max="8965" width="13.42578125" style="1" customWidth="1"/>
    <col min="8966" max="8970" width="14.7109375" style="1" customWidth="1"/>
    <col min="8971" max="8971" width="16.7109375" style="1" customWidth="1"/>
    <col min="8972" max="8972" width="9.85546875" style="1" customWidth="1"/>
    <col min="8973" max="8973" width="7.42578125" style="1" customWidth="1"/>
    <col min="8974" max="9216" width="9.140625" style="1"/>
    <col min="9217" max="9217" width="8.7109375" style="1" customWidth="1"/>
    <col min="9218" max="9218" width="41.5703125" style="1" customWidth="1"/>
    <col min="9219" max="9219" width="13.28515625" style="1" customWidth="1"/>
    <col min="9220" max="9220" width="14.7109375" style="1" customWidth="1"/>
    <col min="9221" max="9221" width="13.42578125" style="1" customWidth="1"/>
    <col min="9222" max="9226" width="14.7109375" style="1" customWidth="1"/>
    <col min="9227" max="9227" width="16.7109375" style="1" customWidth="1"/>
    <col min="9228" max="9228" width="9.85546875" style="1" customWidth="1"/>
    <col min="9229" max="9229" width="7.42578125" style="1" customWidth="1"/>
    <col min="9230" max="9472" width="9.140625" style="1"/>
    <col min="9473" max="9473" width="8.7109375" style="1" customWidth="1"/>
    <col min="9474" max="9474" width="41.5703125" style="1" customWidth="1"/>
    <col min="9475" max="9475" width="13.28515625" style="1" customWidth="1"/>
    <col min="9476" max="9476" width="14.7109375" style="1" customWidth="1"/>
    <col min="9477" max="9477" width="13.42578125" style="1" customWidth="1"/>
    <col min="9478" max="9482" width="14.7109375" style="1" customWidth="1"/>
    <col min="9483" max="9483" width="16.7109375" style="1" customWidth="1"/>
    <col min="9484" max="9484" width="9.85546875" style="1" customWidth="1"/>
    <col min="9485" max="9485" width="7.42578125" style="1" customWidth="1"/>
    <col min="9486" max="9728" width="9.140625" style="1"/>
    <col min="9729" max="9729" width="8.7109375" style="1" customWidth="1"/>
    <col min="9730" max="9730" width="41.5703125" style="1" customWidth="1"/>
    <col min="9731" max="9731" width="13.28515625" style="1" customWidth="1"/>
    <col min="9732" max="9732" width="14.7109375" style="1" customWidth="1"/>
    <col min="9733" max="9733" width="13.42578125" style="1" customWidth="1"/>
    <col min="9734" max="9738" width="14.7109375" style="1" customWidth="1"/>
    <col min="9739" max="9739" width="16.7109375" style="1" customWidth="1"/>
    <col min="9740" max="9740" width="9.85546875" style="1" customWidth="1"/>
    <col min="9741" max="9741" width="7.42578125" style="1" customWidth="1"/>
    <col min="9742" max="9984" width="9.140625" style="1"/>
    <col min="9985" max="9985" width="8.7109375" style="1" customWidth="1"/>
    <col min="9986" max="9986" width="41.5703125" style="1" customWidth="1"/>
    <col min="9987" max="9987" width="13.28515625" style="1" customWidth="1"/>
    <col min="9988" max="9988" width="14.7109375" style="1" customWidth="1"/>
    <col min="9989" max="9989" width="13.42578125" style="1" customWidth="1"/>
    <col min="9990" max="9994" width="14.7109375" style="1" customWidth="1"/>
    <col min="9995" max="9995" width="16.7109375" style="1" customWidth="1"/>
    <col min="9996" max="9996" width="9.85546875" style="1" customWidth="1"/>
    <col min="9997" max="9997" width="7.42578125" style="1" customWidth="1"/>
    <col min="9998" max="10240" width="9.140625" style="1"/>
    <col min="10241" max="10241" width="8.7109375" style="1" customWidth="1"/>
    <col min="10242" max="10242" width="41.5703125" style="1" customWidth="1"/>
    <col min="10243" max="10243" width="13.28515625" style="1" customWidth="1"/>
    <col min="10244" max="10244" width="14.7109375" style="1" customWidth="1"/>
    <col min="10245" max="10245" width="13.42578125" style="1" customWidth="1"/>
    <col min="10246" max="10250" width="14.7109375" style="1" customWidth="1"/>
    <col min="10251" max="10251" width="16.7109375" style="1" customWidth="1"/>
    <col min="10252" max="10252" width="9.85546875" style="1" customWidth="1"/>
    <col min="10253" max="10253" width="7.42578125" style="1" customWidth="1"/>
    <col min="10254" max="10496" width="9.140625" style="1"/>
    <col min="10497" max="10497" width="8.7109375" style="1" customWidth="1"/>
    <col min="10498" max="10498" width="41.5703125" style="1" customWidth="1"/>
    <col min="10499" max="10499" width="13.28515625" style="1" customWidth="1"/>
    <col min="10500" max="10500" width="14.7109375" style="1" customWidth="1"/>
    <col min="10501" max="10501" width="13.42578125" style="1" customWidth="1"/>
    <col min="10502" max="10506" width="14.7109375" style="1" customWidth="1"/>
    <col min="10507" max="10507" width="16.7109375" style="1" customWidth="1"/>
    <col min="10508" max="10508" width="9.85546875" style="1" customWidth="1"/>
    <col min="10509" max="10509" width="7.42578125" style="1" customWidth="1"/>
    <col min="10510" max="10752" width="9.140625" style="1"/>
    <col min="10753" max="10753" width="8.7109375" style="1" customWidth="1"/>
    <col min="10754" max="10754" width="41.5703125" style="1" customWidth="1"/>
    <col min="10755" max="10755" width="13.28515625" style="1" customWidth="1"/>
    <col min="10756" max="10756" width="14.7109375" style="1" customWidth="1"/>
    <col min="10757" max="10757" width="13.42578125" style="1" customWidth="1"/>
    <col min="10758" max="10762" width="14.7109375" style="1" customWidth="1"/>
    <col min="10763" max="10763" width="16.7109375" style="1" customWidth="1"/>
    <col min="10764" max="10764" width="9.85546875" style="1" customWidth="1"/>
    <col min="10765" max="10765" width="7.42578125" style="1" customWidth="1"/>
    <col min="10766" max="11008" width="9.140625" style="1"/>
    <col min="11009" max="11009" width="8.7109375" style="1" customWidth="1"/>
    <col min="11010" max="11010" width="41.5703125" style="1" customWidth="1"/>
    <col min="11011" max="11011" width="13.28515625" style="1" customWidth="1"/>
    <col min="11012" max="11012" width="14.7109375" style="1" customWidth="1"/>
    <col min="11013" max="11013" width="13.42578125" style="1" customWidth="1"/>
    <col min="11014" max="11018" width="14.7109375" style="1" customWidth="1"/>
    <col min="11019" max="11019" width="16.7109375" style="1" customWidth="1"/>
    <col min="11020" max="11020" width="9.85546875" style="1" customWidth="1"/>
    <col min="11021" max="11021" width="7.42578125" style="1" customWidth="1"/>
    <col min="11022" max="11264" width="9.140625" style="1"/>
    <col min="11265" max="11265" width="8.7109375" style="1" customWidth="1"/>
    <col min="11266" max="11266" width="41.5703125" style="1" customWidth="1"/>
    <col min="11267" max="11267" width="13.28515625" style="1" customWidth="1"/>
    <col min="11268" max="11268" width="14.7109375" style="1" customWidth="1"/>
    <col min="11269" max="11269" width="13.42578125" style="1" customWidth="1"/>
    <col min="11270" max="11274" width="14.7109375" style="1" customWidth="1"/>
    <col min="11275" max="11275" width="16.7109375" style="1" customWidth="1"/>
    <col min="11276" max="11276" width="9.85546875" style="1" customWidth="1"/>
    <col min="11277" max="11277" width="7.42578125" style="1" customWidth="1"/>
    <col min="11278" max="11520" width="9.140625" style="1"/>
    <col min="11521" max="11521" width="8.7109375" style="1" customWidth="1"/>
    <col min="11522" max="11522" width="41.5703125" style="1" customWidth="1"/>
    <col min="11523" max="11523" width="13.28515625" style="1" customWidth="1"/>
    <col min="11524" max="11524" width="14.7109375" style="1" customWidth="1"/>
    <col min="11525" max="11525" width="13.42578125" style="1" customWidth="1"/>
    <col min="11526" max="11530" width="14.7109375" style="1" customWidth="1"/>
    <col min="11531" max="11531" width="16.7109375" style="1" customWidth="1"/>
    <col min="11532" max="11532" width="9.85546875" style="1" customWidth="1"/>
    <col min="11533" max="11533" width="7.42578125" style="1" customWidth="1"/>
    <col min="11534" max="11776" width="9.140625" style="1"/>
    <col min="11777" max="11777" width="8.7109375" style="1" customWidth="1"/>
    <col min="11778" max="11778" width="41.5703125" style="1" customWidth="1"/>
    <col min="11779" max="11779" width="13.28515625" style="1" customWidth="1"/>
    <col min="11780" max="11780" width="14.7109375" style="1" customWidth="1"/>
    <col min="11781" max="11781" width="13.42578125" style="1" customWidth="1"/>
    <col min="11782" max="11786" width="14.7109375" style="1" customWidth="1"/>
    <col min="11787" max="11787" width="16.7109375" style="1" customWidth="1"/>
    <col min="11788" max="11788" width="9.85546875" style="1" customWidth="1"/>
    <col min="11789" max="11789" width="7.42578125" style="1" customWidth="1"/>
    <col min="11790" max="12032" width="9.140625" style="1"/>
    <col min="12033" max="12033" width="8.7109375" style="1" customWidth="1"/>
    <col min="12034" max="12034" width="41.5703125" style="1" customWidth="1"/>
    <col min="12035" max="12035" width="13.28515625" style="1" customWidth="1"/>
    <col min="12036" max="12036" width="14.7109375" style="1" customWidth="1"/>
    <col min="12037" max="12037" width="13.42578125" style="1" customWidth="1"/>
    <col min="12038" max="12042" width="14.7109375" style="1" customWidth="1"/>
    <col min="12043" max="12043" width="16.7109375" style="1" customWidth="1"/>
    <col min="12044" max="12044" width="9.85546875" style="1" customWidth="1"/>
    <col min="12045" max="12045" width="7.42578125" style="1" customWidth="1"/>
    <col min="12046" max="12288" width="9.140625" style="1"/>
    <col min="12289" max="12289" width="8.7109375" style="1" customWidth="1"/>
    <col min="12290" max="12290" width="41.5703125" style="1" customWidth="1"/>
    <col min="12291" max="12291" width="13.28515625" style="1" customWidth="1"/>
    <col min="12292" max="12292" width="14.7109375" style="1" customWidth="1"/>
    <col min="12293" max="12293" width="13.42578125" style="1" customWidth="1"/>
    <col min="12294" max="12298" width="14.7109375" style="1" customWidth="1"/>
    <col min="12299" max="12299" width="16.7109375" style="1" customWidth="1"/>
    <col min="12300" max="12300" width="9.85546875" style="1" customWidth="1"/>
    <col min="12301" max="12301" width="7.42578125" style="1" customWidth="1"/>
    <col min="12302" max="12544" width="9.140625" style="1"/>
    <col min="12545" max="12545" width="8.7109375" style="1" customWidth="1"/>
    <col min="12546" max="12546" width="41.5703125" style="1" customWidth="1"/>
    <col min="12547" max="12547" width="13.28515625" style="1" customWidth="1"/>
    <col min="12548" max="12548" width="14.7109375" style="1" customWidth="1"/>
    <col min="12549" max="12549" width="13.42578125" style="1" customWidth="1"/>
    <col min="12550" max="12554" width="14.7109375" style="1" customWidth="1"/>
    <col min="12555" max="12555" width="16.7109375" style="1" customWidth="1"/>
    <col min="12556" max="12556" width="9.85546875" style="1" customWidth="1"/>
    <col min="12557" max="12557" width="7.42578125" style="1" customWidth="1"/>
    <col min="12558" max="12800" width="9.140625" style="1"/>
    <col min="12801" max="12801" width="8.7109375" style="1" customWidth="1"/>
    <col min="12802" max="12802" width="41.5703125" style="1" customWidth="1"/>
    <col min="12803" max="12803" width="13.28515625" style="1" customWidth="1"/>
    <col min="12804" max="12804" width="14.7109375" style="1" customWidth="1"/>
    <col min="12805" max="12805" width="13.42578125" style="1" customWidth="1"/>
    <col min="12806" max="12810" width="14.7109375" style="1" customWidth="1"/>
    <col min="12811" max="12811" width="16.7109375" style="1" customWidth="1"/>
    <col min="12812" max="12812" width="9.85546875" style="1" customWidth="1"/>
    <col min="12813" max="12813" width="7.42578125" style="1" customWidth="1"/>
    <col min="12814" max="13056" width="9.140625" style="1"/>
    <col min="13057" max="13057" width="8.7109375" style="1" customWidth="1"/>
    <col min="13058" max="13058" width="41.5703125" style="1" customWidth="1"/>
    <col min="13059" max="13059" width="13.28515625" style="1" customWidth="1"/>
    <col min="13060" max="13060" width="14.7109375" style="1" customWidth="1"/>
    <col min="13061" max="13061" width="13.42578125" style="1" customWidth="1"/>
    <col min="13062" max="13066" width="14.7109375" style="1" customWidth="1"/>
    <col min="13067" max="13067" width="16.7109375" style="1" customWidth="1"/>
    <col min="13068" max="13068" width="9.85546875" style="1" customWidth="1"/>
    <col min="13069" max="13069" width="7.42578125" style="1" customWidth="1"/>
    <col min="13070" max="13312" width="9.140625" style="1"/>
    <col min="13313" max="13313" width="8.7109375" style="1" customWidth="1"/>
    <col min="13314" max="13314" width="41.5703125" style="1" customWidth="1"/>
    <col min="13315" max="13315" width="13.28515625" style="1" customWidth="1"/>
    <col min="13316" max="13316" width="14.7109375" style="1" customWidth="1"/>
    <col min="13317" max="13317" width="13.42578125" style="1" customWidth="1"/>
    <col min="13318" max="13322" width="14.7109375" style="1" customWidth="1"/>
    <col min="13323" max="13323" width="16.7109375" style="1" customWidth="1"/>
    <col min="13324" max="13324" width="9.85546875" style="1" customWidth="1"/>
    <col min="13325" max="13325" width="7.42578125" style="1" customWidth="1"/>
    <col min="13326" max="13568" width="9.140625" style="1"/>
    <col min="13569" max="13569" width="8.7109375" style="1" customWidth="1"/>
    <col min="13570" max="13570" width="41.5703125" style="1" customWidth="1"/>
    <col min="13571" max="13571" width="13.28515625" style="1" customWidth="1"/>
    <col min="13572" max="13572" width="14.7109375" style="1" customWidth="1"/>
    <col min="13573" max="13573" width="13.42578125" style="1" customWidth="1"/>
    <col min="13574" max="13578" width="14.7109375" style="1" customWidth="1"/>
    <col min="13579" max="13579" width="16.7109375" style="1" customWidth="1"/>
    <col min="13580" max="13580" width="9.85546875" style="1" customWidth="1"/>
    <col min="13581" max="13581" width="7.42578125" style="1" customWidth="1"/>
    <col min="13582" max="13824" width="9.140625" style="1"/>
    <col min="13825" max="13825" width="8.7109375" style="1" customWidth="1"/>
    <col min="13826" max="13826" width="41.5703125" style="1" customWidth="1"/>
    <col min="13827" max="13827" width="13.28515625" style="1" customWidth="1"/>
    <col min="13828" max="13828" width="14.7109375" style="1" customWidth="1"/>
    <col min="13829" max="13829" width="13.42578125" style="1" customWidth="1"/>
    <col min="13830" max="13834" width="14.7109375" style="1" customWidth="1"/>
    <col min="13835" max="13835" width="16.7109375" style="1" customWidth="1"/>
    <col min="13836" max="13836" width="9.85546875" style="1" customWidth="1"/>
    <col min="13837" max="13837" width="7.42578125" style="1" customWidth="1"/>
    <col min="13838" max="14080" width="9.140625" style="1"/>
    <col min="14081" max="14081" width="8.7109375" style="1" customWidth="1"/>
    <col min="14082" max="14082" width="41.5703125" style="1" customWidth="1"/>
    <col min="14083" max="14083" width="13.28515625" style="1" customWidth="1"/>
    <col min="14084" max="14084" width="14.7109375" style="1" customWidth="1"/>
    <col min="14085" max="14085" width="13.42578125" style="1" customWidth="1"/>
    <col min="14086" max="14090" width="14.7109375" style="1" customWidth="1"/>
    <col min="14091" max="14091" width="16.7109375" style="1" customWidth="1"/>
    <col min="14092" max="14092" width="9.85546875" style="1" customWidth="1"/>
    <col min="14093" max="14093" width="7.42578125" style="1" customWidth="1"/>
    <col min="14094" max="14336" width="9.140625" style="1"/>
    <col min="14337" max="14337" width="8.7109375" style="1" customWidth="1"/>
    <col min="14338" max="14338" width="41.5703125" style="1" customWidth="1"/>
    <col min="14339" max="14339" width="13.28515625" style="1" customWidth="1"/>
    <col min="14340" max="14340" width="14.7109375" style="1" customWidth="1"/>
    <col min="14341" max="14341" width="13.42578125" style="1" customWidth="1"/>
    <col min="14342" max="14346" width="14.7109375" style="1" customWidth="1"/>
    <col min="14347" max="14347" width="16.7109375" style="1" customWidth="1"/>
    <col min="14348" max="14348" width="9.85546875" style="1" customWidth="1"/>
    <col min="14349" max="14349" width="7.42578125" style="1" customWidth="1"/>
    <col min="14350" max="14592" width="9.140625" style="1"/>
    <col min="14593" max="14593" width="8.7109375" style="1" customWidth="1"/>
    <col min="14594" max="14594" width="41.5703125" style="1" customWidth="1"/>
    <col min="14595" max="14595" width="13.28515625" style="1" customWidth="1"/>
    <col min="14596" max="14596" width="14.7109375" style="1" customWidth="1"/>
    <col min="14597" max="14597" width="13.42578125" style="1" customWidth="1"/>
    <col min="14598" max="14602" width="14.7109375" style="1" customWidth="1"/>
    <col min="14603" max="14603" width="16.7109375" style="1" customWidth="1"/>
    <col min="14604" max="14604" width="9.85546875" style="1" customWidth="1"/>
    <col min="14605" max="14605" width="7.42578125" style="1" customWidth="1"/>
    <col min="14606" max="14848" width="9.140625" style="1"/>
    <col min="14849" max="14849" width="8.7109375" style="1" customWidth="1"/>
    <col min="14850" max="14850" width="41.5703125" style="1" customWidth="1"/>
    <col min="14851" max="14851" width="13.28515625" style="1" customWidth="1"/>
    <col min="14852" max="14852" width="14.7109375" style="1" customWidth="1"/>
    <col min="14853" max="14853" width="13.42578125" style="1" customWidth="1"/>
    <col min="14854" max="14858" width="14.7109375" style="1" customWidth="1"/>
    <col min="14859" max="14859" width="16.7109375" style="1" customWidth="1"/>
    <col min="14860" max="14860" width="9.85546875" style="1" customWidth="1"/>
    <col min="14861" max="14861" width="7.42578125" style="1" customWidth="1"/>
    <col min="14862" max="15104" width="9.140625" style="1"/>
    <col min="15105" max="15105" width="8.7109375" style="1" customWidth="1"/>
    <col min="15106" max="15106" width="41.5703125" style="1" customWidth="1"/>
    <col min="15107" max="15107" width="13.28515625" style="1" customWidth="1"/>
    <col min="15108" max="15108" width="14.7109375" style="1" customWidth="1"/>
    <col min="15109" max="15109" width="13.42578125" style="1" customWidth="1"/>
    <col min="15110" max="15114" width="14.7109375" style="1" customWidth="1"/>
    <col min="15115" max="15115" width="16.7109375" style="1" customWidth="1"/>
    <col min="15116" max="15116" width="9.85546875" style="1" customWidth="1"/>
    <col min="15117" max="15117" width="7.42578125" style="1" customWidth="1"/>
    <col min="15118" max="15360" width="9.140625" style="1"/>
    <col min="15361" max="15361" width="8.7109375" style="1" customWidth="1"/>
    <col min="15362" max="15362" width="41.5703125" style="1" customWidth="1"/>
    <col min="15363" max="15363" width="13.28515625" style="1" customWidth="1"/>
    <col min="15364" max="15364" width="14.7109375" style="1" customWidth="1"/>
    <col min="15365" max="15365" width="13.42578125" style="1" customWidth="1"/>
    <col min="15366" max="15370" width="14.7109375" style="1" customWidth="1"/>
    <col min="15371" max="15371" width="16.7109375" style="1" customWidth="1"/>
    <col min="15372" max="15372" width="9.85546875" style="1" customWidth="1"/>
    <col min="15373" max="15373" width="7.42578125" style="1" customWidth="1"/>
    <col min="15374" max="15616" width="9.140625" style="1"/>
    <col min="15617" max="15617" width="8.7109375" style="1" customWidth="1"/>
    <col min="15618" max="15618" width="41.5703125" style="1" customWidth="1"/>
    <col min="15619" max="15619" width="13.28515625" style="1" customWidth="1"/>
    <col min="15620" max="15620" width="14.7109375" style="1" customWidth="1"/>
    <col min="15621" max="15621" width="13.42578125" style="1" customWidth="1"/>
    <col min="15622" max="15626" width="14.7109375" style="1" customWidth="1"/>
    <col min="15627" max="15627" width="16.7109375" style="1" customWidth="1"/>
    <col min="15628" max="15628" width="9.85546875" style="1" customWidth="1"/>
    <col min="15629" max="15629" width="7.42578125" style="1" customWidth="1"/>
    <col min="15630" max="15872" width="9.140625" style="1"/>
    <col min="15873" max="15873" width="8.7109375" style="1" customWidth="1"/>
    <col min="15874" max="15874" width="41.5703125" style="1" customWidth="1"/>
    <col min="15875" max="15875" width="13.28515625" style="1" customWidth="1"/>
    <col min="15876" max="15876" width="14.7109375" style="1" customWidth="1"/>
    <col min="15877" max="15877" width="13.42578125" style="1" customWidth="1"/>
    <col min="15878" max="15882" width="14.7109375" style="1" customWidth="1"/>
    <col min="15883" max="15883" width="16.7109375" style="1" customWidth="1"/>
    <col min="15884" max="15884" width="9.85546875" style="1" customWidth="1"/>
    <col min="15885" max="15885" width="7.42578125" style="1" customWidth="1"/>
    <col min="15886" max="16128" width="9.140625" style="1"/>
    <col min="16129" max="16129" width="8.7109375" style="1" customWidth="1"/>
    <col min="16130" max="16130" width="41.5703125" style="1" customWidth="1"/>
    <col min="16131" max="16131" width="13.28515625" style="1" customWidth="1"/>
    <col min="16132" max="16132" width="14.7109375" style="1" customWidth="1"/>
    <col min="16133" max="16133" width="13.42578125" style="1" customWidth="1"/>
    <col min="16134" max="16138" width="14.7109375" style="1" customWidth="1"/>
    <col min="16139" max="16139" width="16.7109375" style="1" customWidth="1"/>
    <col min="16140" max="16140" width="9.85546875" style="1" customWidth="1"/>
    <col min="16141" max="16141" width="7.42578125" style="1" customWidth="1"/>
    <col min="16142" max="16384" width="9.140625" style="1"/>
  </cols>
  <sheetData>
    <row r="1" spans="1:22" ht="15" customHeight="1" x14ac:dyDescent="0.2"/>
    <row r="2" spans="1:22" ht="20.100000000000001" customHeight="1" x14ac:dyDescent="0.35">
      <c r="A2" s="1303" t="s">
        <v>508</v>
      </c>
      <c r="B2" s="1303"/>
      <c r="C2" s="1303"/>
      <c r="D2" s="1303"/>
      <c r="E2" s="1303"/>
      <c r="F2" s="1303"/>
      <c r="G2" s="1303"/>
      <c r="H2" s="1303"/>
      <c r="I2" s="1303"/>
      <c r="J2" s="1303"/>
      <c r="K2" s="1303"/>
      <c r="L2" s="1303"/>
      <c r="M2" s="1303"/>
      <c r="N2" s="29"/>
    </row>
    <row r="3" spans="1:22" ht="15" customHeight="1" x14ac:dyDescent="0.2"/>
    <row r="4" spans="1:22" ht="20.100000000000001" customHeight="1" x14ac:dyDescent="0.3">
      <c r="A4" s="7" t="s">
        <v>190</v>
      </c>
      <c r="L4" s="8"/>
    </row>
    <row r="5" spans="1:22" ht="15" customHeight="1" thickBot="1" x14ac:dyDescent="0.35">
      <c r="A5" s="7"/>
      <c r="M5" s="8" t="s">
        <v>0</v>
      </c>
    </row>
    <row r="6" spans="1:22" s="62" customFormat="1" ht="15.95" customHeight="1" x14ac:dyDescent="0.15">
      <c r="A6" s="1305" t="s">
        <v>88</v>
      </c>
      <c r="B6" s="1315" t="s">
        <v>103</v>
      </c>
      <c r="C6" s="1198" t="s">
        <v>365</v>
      </c>
      <c r="D6" s="1199"/>
      <c r="E6" s="1198" t="s">
        <v>440</v>
      </c>
      <c r="F6" s="1202"/>
      <c r="G6" s="1199"/>
      <c r="H6" s="1307" t="s">
        <v>507</v>
      </c>
      <c r="I6" s="1308"/>
      <c r="J6" s="1308"/>
      <c r="K6" s="1309"/>
      <c r="L6" s="1310" t="s">
        <v>509</v>
      </c>
      <c r="M6" s="1312" t="s">
        <v>510</v>
      </c>
    </row>
    <row r="7" spans="1:22" s="62" customFormat="1" ht="27" customHeight="1" thickBot="1" x14ac:dyDescent="0.2">
      <c r="A7" s="1306"/>
      <c r="B7" s="1317"/>
      <c r="C7" s="177" t="s">
        <v>108</v>
      </c>
      <c r="D7" s="178" t="s">
        <v>126</v>
      </c>
      <c r="E7" s="264" t="s">
        <v>109</v>
      </c>
      <c r="F7" s="265" t="s">
        <v>589</v>
      </c>
      <c r="G7" s="266" t="s">
        <v>591</v>
      </c>
      <c r="H7" s="824" t="s">
        <v>124</v>
      </c>
      <c r="I7" s="825" t="s">
        <v>125</v>
      </c>
      <c r="J7" s="826" t="s">
        <v>314</v>
      </c>
      <c r="K7" s="821" t="s">
        <v>85</v>
      </c>
      <c r="L7" s="1311"/>
      <c r="M7" s="1313"/>
    </row>
    <row r="8" spans="1:22" s="9" customFormat="1" ht="20.100000000000001" customHeight="1" thickBot="1" x14ac:dyDescent="0.3">
      <c r="B8" s="10" t="s">
        <v>104</v>
      </c>
      <c r="C8" s="11"/>
      <c r="D8" s="12"/>
      <c r="E8" s="11"/>
      <c r="F8" s="13"/>
      <c r="G8" s="13"/>
      <c r="H8" s="13"/>
      <c r="I8" s="13"/>
      <c r="J8" s="13"/>
      <c r="K8" s="268"/>
      <c r="L8" s="16"/>
      <c r="M8" s="16"/>
    </row>
    <row r="9" spans="1:22" s="509" customFormat="1" ht="20.100000000000001" customHeight="1" x14ac:dyDescent="0.2">
      <c r="A9" s="491">
        <v>2115</v>
      </c>
      <c r="B9" s="596" t="s">
        <v>481</v>
      </c>
      <c r="C9" s="436">
        <v>0</v>
      </c>
      <c r="D9" s="437">
        <v>70.25</v>
      </c>
      <c r="E9" s="436">
        <v>100</v>
      </c>
      <c r="F9" s="558">
        <v>8.52</v>
      </c>
      <c r="G9" s="492">
        <v>0.54</v>
      </c>
      <c r="H9" s="472">
        <v>0</v>
      </c>
      <c r="I9" s="438">
        <v>0</v>
      </c>
      <c r="J9" s="1021">
        <v>0</v>
      </c>
      <c r="K9" s="961">
        <f t="shared" ref="K9:K36" si="0">SUM(H9:J9)</f>
        <v>0</v>
      </c>
      <c r="L9" s="441">
        <f t="shared" ref="L9" si="1">K9/E9*100</f>
        <v>0</v>
      </c>
      <c r="M9" s="442">
        <f>K9/F9*100</f>
        <v>0</v>
      </c>
      <c r="N9" s="776"/>
      <c r="O9" s="514"/>
      <c r="P9" s="768"/>
      <c r="Q9" s="514"/>
      <c r="R9" s="514"/>
      <c r="S9" s="514"/>
      <c r="T9" s="514"/>
      <c r="U9" s="514"/>
      <c r="V9" s="514"/>
    </row>
    <row r="10" spans="1:22" s="509" customFormat="1" ht="20.100000000000001" customHeight="1" x14ac:dyDescent="0.2">
      <c r="A10" s="637">
        <v>2212</v>
      </c>
      <c r="B10" s="885" t="s">
        <v>111</v>
      </c>
      <c r="C10" s="445">
        <v>250</v>
      </c>
      <c r="D10" s="446">
        <v>2.71</v>
      </c>
      <c r="E10" s="445">
        <v>0</v>
      </c>
      <c r="F10" s="453">
        <v>0</v>
      </c>
      <c r="G10" s="559">
        <v>0</v>
      </c>
      <c r="H10" s="897">
        <v>0</v>
      </c>
      <c r="I10" s="513">
        <v>0</v>
      </c>
      <c r="J10" s="1057">
        <v>0</v>
      </c>
      <c r="K10" s="962">
        <f t="shared" ref="K10" si="2">SUM(H10:J10)</f>
        <v>0</v>
      </c>
      <c r="L10" s="459" t="s">
        <v>60</v>
      </c>
      <c r="M10" s="460" t="s">
        <v>60</v>
      </c>
      <c r="N10" s="776"/>
      <c r="O10" s="514"/>
      <c r="P10" s="768"/>
      <c r="Q10" s="514"/>
      <c r="R10" s="514"/>
      <c r="S10" s="514"/>
      <c r="T10" s="514"/>
      <c r="U10" s="514"/>
      <c r="V10" s="514"/>
    </row>
    <row r="11" spans="1:22" s="511" customFormat="1" ht="20.100000000000001" customHeight="1" x14ac:dyDescent="0.2">
      <c r="A11" s="489">
        <v>2219</v>
      </c>
      <c r="B11" s="506" t="s">
        <v>112</v>
      </c>
      <c r="C11" s="445">
        <v>13</v>
      </c>
      <c r="D11" s="446">
        <v>0</v>
      </c>
      <c r="E11" s="445">
        <v>0</v>
      </c>
      <c r="F11" s="453">
        <v>0</v>
      </c>
      <c r="G11" s="559">
        <v>0</v>
      </c>
      <c r="H11" s="897">
        <v>0</v>
      </c>
      <c r="I11" s="513">
        <v>0</v>
      </c>
      <c r="J11" s="1057">
        <v>0</v>
      </c>
      <c r="K11" s="962">
        <f t="shared" si="0"/>
        <v>0</v>
      </c>
      <c r="L11" s="459" t="s">
        <v>60</v>
      </c>
      <c r="M11" s="460" t="s">
        <v>60</v>
      </c>
      <c r="N11" s="776"/>
      <c r="P11" s="768"/>
    </row>
    <row r="12" spans="1:22" s="511" customFormat="1" ht="20.100000000000001" customHeight="1" x14ac:dyDescent="0.2">
      <c r="A12" s="489">
        <v>2223</v>
      </c>
      <c r="B12" s="642" t="s">
        <v>191</v>
      </c>
      <c r="C12" s="445">
        <v>3</v>
      </c>
      <c r="D12" s="446">
        <v>0</v>
      </c>
      <c r="E12" s="445">
        <v>0</v>
      </c>
      <c r="F12" s="453">
        <v>0</v>
      </c>
      <c r="G12" s="559">
        <v>0</v>
      </c>
      <c r="H12" s="897">
        <v>0</v>
      </c>
      <c r="I12" s="513">
        <v>0</v>
      </c>
      <c r="J12" s="1057">
        <v>0</v>
      </c>
      <c r="K12" s="962">
        <f t="shared" si="0"/>
        <v>0</v>
      </c>
      <c r="L12" s="459" t="s">
        <v>60</v>
      </c>
      <c r="M12" s="460" t="s">
        <v>60</v>
      </c>
      <c r="N12" s="776"/>
      <c r="P12" s="768"/>
    </row>
    <row r="13" spans="1:22" s="511" customFormat="1" ht="30" customHeight="1" x14ac:dyDescent="0.2">
      <c r="A13" s="489">
        <v>2292</v>
      </c>
      <c r="B13" s="642" t="s">
        <v>332</v>
      </c>
      <c r="C13" s="445">
        <v>1</v>
      </c>
      <c r="D13" s="446">
        <v>0</v>
      </c>
      <c r="E13" s="445">
        <v>0</v>
      </c>
      <c r="F13" s="453">
        <v>0</v>
      </c>
      <c r="G13" s="559">
        <v>0</v>
      </c>
      <c r="H13" s="897">
        <v>0</v>
      </c>
      <c r="I13" s="513">
        <v>0</v>
      </c>
      <c r="J13" s="1057">
        <v>0</v>
      </c>
      <c r="K13" s="962">
        <f t="shared" si="0"/>
        <v>0</v>
      </c>
      <c r="L13" s="459" t="s">
        <v>60</v>
      </c>
      <c r="M13" s="460" t="s">
        <v>60</v>
      </c>
      <c r="N13" s="776"/>
      <c r="P13" s="768"/>
    </row>
    <row r="14" spans="1:22" s="511" customFormat="1" ht="20.100000000000001" customHeight="1" x14ac:dyDescent="0.2">
      <c r="A14" s="489">
        <v>2299</v>
      </c>
      <c r="B14" s="642" t="s">
        <v>113</v>
      </c>
      <c r="C14" s="445">
        <v>3</v>
      </c>
      <c r="D14" s="446">
        <v>0</v>
      </c>
      <c r="E14" s="445">
        <v>0</v>
      </c>
      <c r="F14" s="453">
        <v>0</v>
      </c>
      <c r="G14" s="559">
        <v>0</v>
      </c>
      <c r="H14" s="897">
        <v>0</v>
      </c>
      <c r="I14" s="513">
        <v>0</v>
      </c>
      <c r="J14" s="1057">
        <v>0</v>
      </c>
      <c r="K14" s="962">
        <f t="shared" si="0"/>
        <v>0</v>
      </c>
      <c r="L14" s="459" t="s">
        <v>60</v>
      </c>
      <c r="M14" s="460" t="s">
        <v>60</v>
      </c>
      <c r="N14" s="776"/>
      <c r="P14" s="768"/>
    </row>
    <row r="15" spans="1:22" s="511" customFormat="1" ht="20.100000000000001" customHeight="1" x14ac:dyDescent="0.2">
      <c r="A15" s="489">
        <v>2310</v>
      </c>
      <c r="B15" s="595" t="s">
        <v>114</v>
      </c>
      <c r="C15" s="477">
        <v>2</v>
      </c>
      <c r="D15" s="500">
        <v>0</v>
      </c>
      <c r="E15" s="445">
        <v>0</v>
      </c>
      <c r="F15" s="453">
        <v>0</v>
      </c>
      <c r="G15" s="559">
        <v>0</v>
      </c>
      <c r="H15" s="897">
        <v>0</v>
      </c>
      <c r="I15" s="513">
        <v>0</v>
      </c>
      <c r="J15" s="1057">
        <v>0</v>
      </c>
      <c r="K15" s="962">
        <f t="shared" si="0"/>
        <v>0</v>
      </c>
      <c r="L15" s="459" t="s">
        <v>60</v>
      </c>
      <c r="M15" s="460" t="s">
        <v>60</v>
      </c>
      <c r="N15" s="776"/>
      <c r="P15" s="768"/>
    </row>
    <row r="16" spans="1:22" s="511" customFormat="1" ht="20.100000000000001" customHeight="1" x14ac:dyDescent="0.2">
      <c r="A16" s="489">
        <v>3121</v>
      </c>
      <c r="B16" s="595" t="s">
        <v>115</v>
      </c>
      <c r="C16" s="477">
        <v>85</v>
      </c>
      <c r="D16" s="500">
        <v>11.62</v>
      </c>
      <c r="E16" s="477">
        <v>150</v>
      </c>
      <c r="F16" s="552">
        <v>150</v>
      </c>
      <c r="G16" s="478">
        <v>0</v>
      </c>
      <c r="H16" s="1022">
        <v>185</v>
      </c>
      <c r="I16" s="513">
        <v>10</v>
      </c>
      <c r="J16" s="1057">
        <v>5</v>
      </c>
      <c r="K16" s="962">
        <f t="shared" si="0"/>
        <v>200</v>
      </c>
      <c r="L16" s="459">
        <f t="shared" ref="L16" si="3">K16/E16*100</f>
        <v>133.33333333333331</v>
      </c>
      <c r="M16" s="460">
        <f t="shared" ref="M16" si="4">K16/F16*100</f>
        <v>133.33333333333331</v>
      </c>
      <c r="N16" s="776"/>
      <c r="P16" s="768"/>
    </row>
    <row r="17" spans="1:16" s="511" customFormat="1" ht="20.100000000000001" customHeight="1" x14ac:dyDescent="0.2">
      <c r="A17" s="489">
        <v>3122</v>
      </c>
      <c r="B17" s="595" t="s">
        <v>116</v>
      </c>
      <c r="C17" s="477">
        <v>185</v>
      </c>
      <c r="D17" s="500">
        <v>316.67</v>
      </c>
      <c r="E17" s="477">
        <v>150</v>
      </c>
      <c r="F17" s="552">
        <v>79.22</v>
      </c>
      <c r="G17" s="478">
        <v>5.99</v>
      </c>
      <c r="H17" s="1022">
        <v>185</v>
      </c>
      <c r="I17" s="513">
        <v>10</v>
      </c>
      <c r="J17" s="1057">
        <v>5</v>
      </c>
      <c r="K17" s="962">
        <f t="shared" si="0"/>
        <v>200</v>
      </c>
      <c r="L17" s="459">
        <f t="shared" ref="L17:L37" si="5">K17/E17*100</f>
        <v>133.33333333333331</v>
      </c>
      <c r="M17" s="460">
        <f t="shared" ref="M17:M37" si="6">K17/F17*100</f>
        <v>252.46149962130775</v>
      </c>
      <c r="N17" s="776"/>
      <c r="P17" s="768"/>
    </row>
    <row r="18" spans="1:16" s="511" customFormat="1" ht="30" customHeight="1" x14ac:dyDescent="0.2">
      <c r="A18" s="489">
        <v>3123</v>
      </c>
      <c r="B18" s="526" t="s">
        <v>130</v>
      </c>
      <c r="C18" s="477">
        <v>185</v>
      </c>
      <c r="D18" s="500">
        <v>273.88</v>
      </c>
      <c r="E18" s="477">
        <v>150</v>
      </c>
      <c r="F18" s="552">
        <v>150</v>
      </c>
      <c r="G18" s="478">
        <v>21.24</v>
      </c>
      <c r="H18" s="512">
        <v>185</v>
      </c>
      <c r="I18" s="513">
        <v>10</v>
      </c>
      <c r="J18" s="1057">
        <v>5</v>
      </c>
      <c r="K18" s="962">
        <f t="shared" si="0"/>
        <v>200</v>
      </c>
      <c r="L18" s="459">
        <f t="shared" si="5"/>
        <v>133.33333333333331</v>
      </c>
      <c r="M18" s="460">
        <f t="shared" si="6"/>
        <v>133.33333333333331</v>
      </c>
      <c r="N18" s="776"/>
      <c r="P18" s="768"/>
    </row>
    <row r="19" spans="1:16" s="511" customFormat="1" ht="30" customHeight="1" x14ac:dyDescent="0.2">
      <c r="A19" s="489">
        <v>3125</v>
      </c>
      <c r="B19" s="526" t="s">
        <v>248</v>
      </c>
      <c r="C19" s="477">
        <v>2</v>
      </c>
      <c r="D19" s="500">
        <v>0</v>
      </c>
      <c r="E19" s="477">
        <v>0</v>
      </c>
      <c r="F19" s="552">
        <v>0</v>
      </c>
      <c r="G19" s="478">
        <v>0</v>
      </c>
      <c r="H19" s="897">
        <v>0</v>
      </c>
      <c r="I19" s="513">
        <v>0</v>
      </c>
      <c r="J19" s="1057">
        <v>0</v>
      </c>
      <c r="K19" s="962">
        <f t="shared" si="0"/>
        <v>0</v>
      </c>
      <c r="L19" s="459" t="s">
        <v>60</v>
      </c>
      <c r="M19" s="460" t="s">
        <v>60</v>
      </c>
      <c r="N19" s="776"/>
      <c r="P19" s="768"/>
    </row>
    <row r="20" spans="1:16" s="511" customFormat="1" ht="20.100000000000001" customHeight="1" x14ac:dyDescent="0.2">
      <c r="A20" s="489">
        <v>3133</v>
      </c>
      <c r="B20" s="595" t="s">
        <v>117</v>
      </c>
      <c r="C20" s="477">
        <v>12</v>
      </c>
      <c r="D20" s="500">
        <v>0</v>
      </c>
      <c r="E20" s="477">
        <v>0</v>
      </c>
      <c r="F20" s="552">
        <v>0</v>
      </c>
      <c r="G20" s="478">
        <v>0</v>
      </c>
      <c r="H20" s="897">
        <v>0</v>
      </c>
      <c r="I20" s="513">
        <v>0</v>
      </c>
      <c r="J20" s="1057">
        <v>0</v>
      </c>
      <c r="K20" s="962">
        <f t="shared" si="0"/>
        <v>0</v>
      </c>
      <c r="L20" s="459" t="s">
        <v>60</v>
      </c>
      <c r="M20" s="460" t="s">
        <v>60</v>
      </c>
      <c r="N20" s="776"/>
      <c r="P20" s="768"/>
    </row>
    <row r="21" spans="1:16" s="511" customFormat="1" ht="20.100000000000001" customHeight="1" x14ac:dyDescent="0.2">
      <c r="A21" s="489">
        <v>3231</v>
      </c>
      <c r="B21" s="595" t="s">
        <v>132</v>
      </c>
      <c r="C21" s="477">
        <v>2</v>
      </c>
      <c r="D21" s="500">
        <v>0</v>
      </c>
      <c r="E21" s="477">
        <v>0</v>
      </c>
      <c r="F21" s="552">
        <v>0</v>
      </c>
      <c r="G21" s="478">
        <v>0</v>
      </c>
      <c r="H21" s="897">
        <v>0</v>
      </c>
      <c r="I21" s="513">
        <v>0</v>
      </c>
      <c r="J21" s="1057">
        <v>0</v>
      </c>
      <c r="K21" s="962">
        <f t="shared" si="0"/>
        <v>0</v>
      </c>
      <c r="L21" s="459" t="s">
        <v>60</v>
      </c>
      <c r="M21" s="460" t="s">
        <v>60</v>
      </c>
      <c r="N21" s="776"/>
      <c r="P21" s="768"/>
    </row>
    <row r="22" spans="1:16" s="511" customFormat="1" ht="20.100000000000001" customHeight="1" x14ac:dyDescent="0.2">
      <c r="A22" s="489">
        <v>3269</v>
      </c>
      <c r="B22" s="595" t="s">
        <v>133</v>
      </c>
      <c r="C22" s="477">
        <v>50</v>
      </c>
      <c r="D22" s="500">
        <v>7.3</v>
      </c>
      <c r="E22" s="477">
        <v>0</v>
      </c>
      <c r="F22" s="552">
        <v>0</v>
      </c>
      <c r="G22" s="478">
        <v>0</v>
      </c>
      <c r="H22" s="897">
        <v>0</v>
      </c>
      <c r="I22" s="513">
        <v>0</v>
      </c>
      <c r="J22" s="1057">
        <v>0</v>
      </c>
      <c r="K22" s="962">
        <f t="shared" si="0"/>
        <v>0</v>
      </c>
      <c r="L22" s="459" t="s">
        <v>60</v>
      </c>
      <c r="M22" s="460" t="s">
        <v>60</v>
      </c>
      <c r="N22" s="776"/>
      <c r="P22" s="768"/>
    </row>
    <row r="23" spans="1:16" s="511" customFormat="1" ht="20.100000000000001" customHeight="1" x14ac:dyDescent="0.2">
      <c r="A23" s="489">
        <v>3314</v>
      </c>
      <c r="B23" s="595" t="s">
        <v>333</v>
      </c>
      <c r="C23" s="477">
        <v>2</v>
      </c>
      <c r="D23" s="500">
        <v>0</v>
      </c>
      <c r="E23" s="477">
        <v>0</v>
      </c>
      <c r="F23" s="552">
        <v>0</v>
      </c>
      <c r="G23" s="478">
        <v>0</v>
      </c>
      <c r="H23" s="897">
        <v>0</v>
      </c>
      <c r="I23" s="513">
        <v>0</v>
      </c>
      <c r="J23" s="1057">
        <v>0</v>
      </c>
      <c r="K23" s="962">
        <f t="shared" si="0"/>
        <v>0</v>
      </c>
      <c r="L23" s="459" t="s">
        <v>60</v>
      </c>
      <c r="M23" s="460" t="s">
        <v>60</v>
      </c>
      <c r="N23" s="776"/>
      <c r="P23" s="768"/>
    </row>
    <row r="24" spans="1:16" s="511" customFormat="1" ht="20.100000000000001" customHeight="1" x14ac:dyDescent="0.2">
      <c r="A24" s="489">
        <v>3315</v>
      </c>
      <c r="B24" s="595" t="s">
        <v>339</v>
      </c>
      <c r="C24" s="477">
        <v>68</v>
      </c>
      <c r="D24" s="500">
        <v>0</v>
      </c>
      <c r="E24" s="477">
        <v>154</v>
      </c>
      <c r="F24" s="552">
        <v>154</v>
      </c>
      <c r="G24" s="478">
        <v>0</v>
      </c>
      <c r="H24" s="512">
        <v>185</v>
      </c>
      <c r="I24" s="513">
        <v>10</v>
      </c>
      <c r="J24" s="1057">
        <v>5</v>
      </c>
      <c r="K24" s="962">
        <f t="shared" si="0"/>
        <v>200</v>
      </c>
      <c r="L24" s="459">
        <f t="shared" si="5"/>
        <v>129.87012987012986</v>
      </c>
      <c r="M24" s="460">
        <f t="shared" si="6"/>
        <v>129.87012987012986</v>
      </c>
      <c r="N24" s="776"/>
      <c r="P24" s="768"/>
    </row>
    <row r="25" spans="1:16" s="511" customFormat="1" ht="45.75" customHeight="1" x14ac:dyDescent="0.2">
      <c r="A25" s="489">
        <v>3326</v>
      </c>
      <c r="B25" s="595" t="s">
        <v>382</v>
      </c>
      <c r="C25" s="477">
        <v>3</v>
      </c>
      <c r="D25" s="500">
        <v>0</v>
      </c>
      <c r="E25" s="477">
        <v>0</v>
      </c>
      <c r="F25" s="552">
        <v>0</v>
      </c>
      <c r="G25" s="478">
        <v>0</v>
      </c>
      <c r="H25" s="897">
        <v>0</v>
      </c>
      <c r="I25" s="513">
        <v>0</v>
      </c>
      <c r="J25" s="1057">
        <v>0</v>
      </c>
      <c r="K25" s="962">
        <f t="shared" si="0"/>
        <v>0</v>
      </c>
      <c r="L25" s="459" t="s">
        <v>60</v>
      </c>
      <c r="M25" s="460" t="s">
        <v>60</v>
      </c>
      <c r="N25" s="776"/>
      <c r="P25" s="768"/>
    </row>
    <row r="26" spans="1:16" s="511" customFormat="1" ht="20.100000000000001" customHeight="1" x14ac:dyDescent="0.2">
      <c r="A26" s="489">
        <v>3522</v>
      </c>
      <c r="B26" s="595" t="s">
        <v>383</v>
      </c>
      <c r="C26" s="477">
        <v>9</v>
      </c>
      <c r="D26" s="500">
        <v>0</v>
      </c>
      <c r="E26" s="477">
        <v>0</v>
      </c>
      <c r="F26" s="552">
        <v>0</v>
      </c>
      <c r="G26" s="478">
        <v>0</v>
      </c>
      <c r="H26" s="897">
        <v>0</v>
      </c>
      <c r="I26" s="513">
        <v>0</v>
      </c>
      <c r="J26" s="1057">
        <v>0</v>
      </c>
      <c r="K26" s="962">
        <f t="shared" si="0"/>
        <v>0</v>
      </c>
      <c r="L26" s="459" t="s">
        <v>60</v>
      </c>
      <c r="M26" s="460" t="s">
        <v>60</v>
      </c>
      <c r="N26" s="776"/>
      <c r="P26" s="768"/>
    </row>
    <row r="27" spans="1:16" s="511" customFormat="1" ht="20.100000000000001" customHeight="1" x14ac:dyDescent="0.2">
      <c r="A27" s="489">
        <v>3529</v>
      </c>
      <c r="B27" s="595" t="s">
        <v>193</v>
      </c>
      <c r="C27" s="477">
        <v>3</v>
      </c>
      <c r="D27" s="500">
        <v>0</v>
      </c>
      <c r="E27" s="477">
        <v>0</v>
      </c>
      <c r="F27" s="552">
        <v>0</v>
      </c>
      <c r="G27" s="478">
        <v>0</v>
      </c>
      <c r="H27" s="897">
        <v>0</v>
      </c>
      <c r="I27" s="513">
        <v>0</v>
      </c>
      <c r="J27" s="1057">
        <v>0</v>
      </c>
      <c r="K27" s="962">
        <f t="shared" si="0"/>
        <v>0</v>
      </c>
      <c r="L27" s="459" t="s">
        <v>60</v>
      </c>
      <c r="M27" s="460" t="s">
        <v>60</v>
      </c>
      <c r="N27" s="776"/>
      <c r="P27" s="768"/>
    </row>
    <row r="28" spans="1:16" s="511" customFormat="1" ht="20.100000000000001" customHeight="1" x14ac:dyDescent="0.2">
      <c r="A28" s="489">
        <v>3533</v>
      </c>
      <c r="B28" s="595" t="s">
        <v>118</v>
      </c>
      <c r="C28" s="477">
        <v>59</v>
      </c>
      <c r="D28" s="500">
        <v>0</v>
      </c>
      <c r="E28" s="477">
        <v>0</v>
      </c>
      <c r="F28" s="552">
        <v>0</v>
      </c>
      <c r="G28" s="478">
        <v>0</v>
      </c>
      <c r="H28" s="897">
        <v>0</v>
      </c>
      <c r="I28" s="513">
        <v>0</v>
      </c>
      <c r="J28" s="1057">
        <v>0</v>
      </c>
      <c r="K28" s="962">
        <f t="shared" si="0"/>
        <v>0</v>
      </c>
      <c r="L28" s="459" t="s">
        <v>60</v>
      </c>
      <c r="M28" s="460" t="s">
        <v>60</v>
      </c>
      <c r="N28" s="776"/>
      <c r="P28" s="768"/>
    </row>
    <row r="29" spans="1:16" s="511" customFormat="1" ht="20.100000000000001" customHeight="1" x14ac:dyDescent="0.2">
      <c r="A29" s="489">
        <v>3636</v>
      </c>
      <c r="B29" s="595" t="s">
        <v>119</v>
      </c>
      <c r="C29" s="477">
        <v>0</v>
      </c>
      <c r="D29" s="500">
        <v>54.9</v>
      </c>
      <c r="E29" s="477">
        <v>0</v>
      </c>
      <c r="F29" s="552">
        <v>0</v>
      </c>
      <c r="G29" s="478">
        <v>0</v>
      </c>
      <c r="H29" s="897">
        <v>0</v>
      </c>
      <c r="I29" s="513">
        <v>0</v>
      </c>
      <c r="J29" s="1057">
        <v>0</v>
      </c>
      <c r="K29" s="962">
        <f t="shared" si="0"/>
        <v>0</v>
      </c>
      <c r="L29" s="459" t="s">
        <v>60</v>
      </c>
      <c r="M29" s="460" t="s">
        <v>60</v>
      </c>
      <c r="N29" s="776"/>
      <c r="P29" s="768"/>
    </row>
    <row r="30" spans="1:16" s="511" customFormat="1" ht="20.100000000000001" customHeight="1" x14ac:dyDescent="0.2">
      <c r="A30" s="489">
        <v>3741</v>
      </c>
      <c r="B30" s="595" t="s">
        <v>158</v>
      </c>
      <c r="C30" s="477">
        <v>0</v>
      </c>
      <c r="D30" s="500">
        <v>0.34</v>
      </c>
      <c r="E30" s="477">
        <v>0</v>
      </c>
      <c r="F30" s="552">
        <v>0</v>
      </c>
      <c r="G30" s="478">
        <v>0</v>
      </c>
      <c r="H30" s="897">
        <v>0</v>
      </c>
      <c r="I30" s="513">
        <v>0</v>
      </c>
      <c r="J30" s="1057">
        <v>0</v>
      </c>
      <c r="K30" s="962">
        <f t="shared" ref="K30:K31" si="7">SUM(H30:J30)</f>
        <v>0</v>
      </c>
      <c r="L30" s="459" t="s">
        <v>60</v>
      </c>
      <c r="M30" s="460" t="s">
        <v>60</v>
      </c>
      <c r="N30" s="776"/>
      <c r="P30" s="768"/>
    </row>
    <row r="31" spans="1:16" s="511" customFormat="1" ht="20.100000000000001" customHeight="1" x14ac:dyDescent="0.2">
      <c r="A31" s="489">
        <v>3742</v>
      </c>
      <c r="B31" s="595" t="s">
        <v>120</v>
      </c>
      <c r="C31" s="477">
        <v>5</v>
      </c>
      <c r="D31" s="500">
        <v>0</v>
      </c>
      <c r="E31" s="477">
        <v>0</v>
      </c>
      <c r="F31" s="552">
        <v>0</v>
      </c>
      <c r="G31" s="478">
        <v>0</v>
      </c>
      <c r="H31" s="897">
        <v>0</v>
      </c>
      <c r="I31" s="513">
        <v>0</v>
      </c>
      <c r="J31" s="1057">
        <v>0</v>
      </c>
      <c r="K31" s="962">
        <f t="shared" si="7"/>
        <v>0</v>
      </c>
      <c r="L31" s="459" t="s">
        <v>60</v>
      </c>
      <c r="M31" s="460" t="s">
        <v>60</v>
      </c>
      <c r="N31" s="776"/>
      <c r="P31" s="768"/>
    </row>
    <row r="32" spans="1:16" s="511" customFormat="1" ht="20.100000000000001" customHeight="1" x14ac:dyDescent="0.2">
      <c r="A32" s="489">
        <v>4350</v>
      </c>
      <c r="B32" s="595" t="s">
        <v>121</v>
      </c>
      <c r="C32" s="477">
        <v>136</v>
      </c>
      <c r="D32" s="500">
        <v>16.88</v>
      </c>
      <c r="E32" s="477">
        <v>150</v>
      </c>
      <c r="F32" s="552">
        <v>16.010000000000002</v>
      </c>
      <c r="G32" s="478">
        <v>0</v>
      </c>
      <c r="H32" s="1022">
        <v>185</v>
      </c>
      <c r="I32" s="513">
        <v>10</v>
      </c>
      <c r="J32" s="1057">
        <v>5</v>
      </c>
      <c r="K32" s="962">
        <f t="shared" si="0"/>
        <v>200</v>
      </c>
      <c r="L32" s="459">
        <f t="shared" ref="L32:L33" si="8">K32/E32*100</f>
        <v>133.33333333333331</v>
      </c>
      <c r="M32" s="612">
        <f t="shared" ref="M32:M33" si="9">K32/F32*100</f>
        <v>1249.2192379762648</v>
      </c>
      <c r="N32" s="776"/>
      <c r="P32" s="768"/>
    </row>
    <row r="33" spans="1:16" s="511" customFormat="1" ht="30" customHeight="1" x14ac:dyDescent="0.2">
      <c r="A33" s="489">
        <v>4357</v>
      </c>
      <c r="B33" s="526" t="s">
        <v>194</v>
      </c>
      <c r="C33" s="477">
        <v>3</v>
      </c>
      <c r="D33" s="500">
        <v>0</v>
      </c>
      <c r="E33" s="477">
        <v>150</v>
      </c>
      <c r="F33" s="552">
        <v>150</v>
      </c>
      <c r="G33" s="478">
        <v>0</v>
      </c>
      <c r="H33" s="512">
        <v>185</v>
      </c>
      <c r="I33" s="513">
        <v>10</v>
      </c>
      <c r="J33" s="1057">
        <v>5</v>
      </c>
      <c r="K33" s="962">
        <f t="shared" si="0"/>
        <v>200</v>
      </c>
      <c r="L33" s="459">
        <f t="shared" si="8"/>
        <v>133.33333333333331</v>
      </c>
      <c r="M33" s="460">
        <f t="shared" si="9"/>
        <v>133.33333333333331</v>
      </c>
      <c r="N33" s="776"/>
      <c r="P33" s="768"/>
    </row>
    <row r="34" spans="1:16" s="511" customFormat="1" ht="30" customHeight="1" x14ac:dyDescent="0.2">
      <c r="A34" s="489">
        <v>4399</v>
      </c>
      <c r="B34" s="526" t="s">
        <v>178</v>
      </c>
      <c r="C34" s="454">
        <v>3</v>
      </c>
      <c r="D34" s="455">
        <v>0</v>
      </c>
      <c r="E34" s="454">
        <v>0</v>
      </c>
      <c r="F34" s="933">
        <v>0</v>
      </c>
      <c r="G34" s="473">
        <v>0</v>
      </c>
      <c r="H34" s="512">
        <v>0</v>
      </c>
      <c r="I34" s="834">
        <v>0</v>
      </c>
      <c r="J34" s="1028">
        <v>0</v>
      </c>
      <c r="K34" s="962">
        <f t="shared" si="0"/>
        <v>0</v>
      </c>
      <c r="L34" s="459" t="s">
        <v>60</v>
      </c>
      <c r="M34" s="460" t="s">
        <v>60</v>
      </c>
      <c r="N34" s="776"/>
      <c r="P34" s="768"/>
    </row>
    <row r="35" spans="1:16" s="511" customFormat="1" ht="30" customHeight="1" x14ac:dyDescent="0.2">
      <c r="A35" s="489">
        <v>5599</v>
      </c>
      <c r="B35" s="526" t="s">
        <v>263</v>
      </c>
      <c r="C35" s="454">
        <v>3</v>
      </c>
      <c r="D35" s="455">
        <v>0</v>
      </c>
      <c r="E35" s="454">
        <v>0</v>
      </c>
      <c r="F35" s="933">
        <v>0</v>
      </c>
      <c r="G35" s="473">
        <v>0</v>
      </c>
      <c r="H35" s="512">
        <v>0</v>
      </c>
      <c r="I35" s="834">
        <v>0</v>
      </c>
      <c r="J35" s="1028">
        <v>0</v>
      </c>
      <c r="K35" s="962">
        <f t="shared" si="0"/>
        <v>0</v>
      </c>
      <c r="L35" s="459" t="s">
        <v>60</v>
      </c>
      <c r="M35" s="460" t="s">
        <v>60</v>
      </c>
      <c r="N35" s="776"/>
      <c r="P35" s="768"/>
    </row>
    <row r="36" spans="1:16" s="511" customFormat="1" ht="20.100000000000001" customHeight="1" thickBot="1" x14ac:dyDescent="0.25">
      <c r="A36" s="489">
        <v>6172</v>
      </c>
      <c r="B36" s="595" t="s">
        <v>105</v>
      </c>
      <c r="C36" s="477">
        <v>1887</v>
      </c>
      <c r="D36" s="500">
        <v>1372.67</v>
      </c>
      <c r="E36" s="477">
        <v>2996</v>
      </c>
      <c r="F36" s="552">
        <v>2916</v>
      </c>
      <c r="G36" s="478">
        <v>993.42</v>
      </c>
      <c r="H36" s="1022">
        <v>1200</v>
      </c>
      <c r="I36" s="1023">
        <v>200</v>
      </c>
      <c r="J36" s="1024">
        <v>100</v>
      </c>
      <c r="K36" s="962">
        <f t="shared" si="0"/>
        <v>1500</v>
      </c>
      <c r="L36" s="459">
        <f t="shared" si="5"/>
        <v>50.066755674232311</v>
      </c>
      <c r="M36" s="460">
        <f t="shared" si="6"/>
        <v>51.440329218106996</v>
      </c>
      <c r="N36" s="776"/>
    </row>
    <row r="37" spans="1:16" ht="20.100000000000001" customHeight="1" thickBot="1" x14ac:dyDescent="0.25">
      <c r="A37" s="180"/>
      <c r="B37" s="401" t="s">
        <v>85</v>
      </c>
      <c r="C37" s="181">
        <f t="shared" ref="C37:K37" si="10">SUM(C9:C36)</f>
        <v>2974</v>
      </c>
      <c r="D37" s="182">
        <f t="shared" si="10"/>
        <v>2127.2200000000003</v>
      </c>
      <c r="E37" s="181">
        <f t="shared" si="10"/>
        <v>4000</v>
      </c>
      <c r="F37" s="183">
        <f t="shared" si="10"/>
        <v>3623.75</v>
      </c>
      <c r="G37" s="182">
        <f t="shared" si="10"/>
        <v>1021.1899999999999</v>
      </c>
      <c r="H37" s="181">
        <f t="shared" si="10"/>
        <v>2310</v>
      </c>
      <c r="I37" s="956">
        <f t="shared" si="10"/>
        <v>260</v>
      </c>
      <c r="J37" s="191">
        <f t="shared" si="10"/>
        <v>130</v>
      </c>
      <c r="K37" s="981">
        <f t="shared" si="10"/>
        <v>2700</v>
      </c>
      <c r="L37" s="192">
        <f t="shared" si="5"/>
        <v>67.5</v>
      </c>
      <c r="M37" s="185">
        <f t="shared" si="6"/>
        <v>74.508451190065543</v>
      </c>
      <c r="N37" s="776"/>
    </row>
    <row r="38" spans="1:16" ht="15" customHeight="1" x14ac:dyDescent="0.25">
      <c r="A38" s="20"/>
      <c r="B38" s="20"/>
      <c r="C38" s="168"/>
      <c r="D38" s="167"/>
      <c r="E38" s="168"/>
      <c r="F38" s="170"/>
      <c r="G38" s="170"/>
      <c r="H38" s="170"/>
      <c r="I38" s="170"/>
      <c r="J38" s="170"/>
      <c r="K38" s="170"/>
      <c r="L38" s="24"/>
      <c r="M38" s="25"/>
      <c r="N38" s="776"/>
    </row>
    <row r="39" spans="1:16" x14ac:dyDescent="0.2">
      <c r="C39" s="3"/>
      <c r="E39" s="3"/>
      <c r="K39" s="3"/>
      <c r="N39" s="776"/>
    </row>
    <row r="40" spans="1:16" x14ac:dyDescent="0.2">
      <c r="C40" s="3"/>
      <c r="E40" s="3"/>
      <c r="K40" s="3"/>
      <c r="L40" s="1152"/>
      <c r="N40" s="511"/>
    </row>
    <row r="41" spans="1:16" x14ac:dyDescent="0.2">
      <c r="N41" s="17"/>
    </row>
    <row r="42" spans="1:16" x14ac:dyDescent="0.2">
      <c r="N42" s="17"/>
    </row>
  </sheetData>
  <mergeCells count="8">
    <mergeCell ref="A2:M2"/>
    <mergeCell ref="A6:A7"/>
    <mergeCell ref="B6:B7"/>
    <mergeCell ref="C6:D6"/>
    <mergeCell ref="E6:G6"/>
    <mergeCell ref="H6:K6"/>
    <mergeCell ref="L6:L7"/>
    <mergeCell ref="M6:M7"/>
  </mergeCells>
  <printOptions horizontalCentered="1"/>
  <pageMargins left="0.59055118110236227" right="0.59055118110236227" top="0.78740157480314965" bottom="0.78740157480314965" header="0.59055118110236227" footer="0.59055118110236227"/>
  <pageSetup paperSize="9" scale="66" fitToHeight="2"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P28"/>
  <sheetViews>
    <sheetView workbookViewId="0"/>
  </sheetViews>
  <sheetFormatPr defaultColWidth="9.140625" defaultRowHeight="12.75" x14ac:dyDescent="0.2"/>
  <cols>
    <col min="1" max="1" width="7.42578125" style="67" customWidth="1"/>
    <col min="2" max="2" width="6.7109375" style="1" customWidth="1"/>
    <col min="3" max="3" width="41.7109375" style="1" customWidth="1"/>
    <col min="4" max="4" width="14.7109375" style="2" customWidth="1"/>
    <col min="5" max="5" width="14.7109375" style="3" customWidth="1"/>
    <col min="6" max="6" width="14.7109375" style="2" customWidth="1"/>
    <col min="7" max="7" width="16.140625" style="3" customWidth="1"/>
    <col min="8" max="9" width="14.7109375" style="3" customWidth="1"/>
    <col min="10" max="10" width="15.5703125" style="3" customWidth="1"/>
    <col min="11" max="11" width="14.7109375" style="3" customWidth="1"/>
    <col min="12" max="12" width="14.7109375" style="787" customWidth="1"/>
    <col min="13" max="14" width="9.7109375" style="5" customWidth="1"/>
    <col min="15" max="15" width="10.42578125" style="1" customWidth="1"/>
    <col min="16" max="16384" width="9.140625" style="1"/>
  </cols>
  <sheetData>
    <row r="1" spans="1:16" ht="15" customHeight="1" x14ac:dyDescent="0.25">
      <c r="N1" s="6"/>
    </row>
    <row r="2" spans="1:16" ht="20.100000000000001" customHeight="1" x14ac:dyDescent="0.35">
      <c r="A2" s="1303" t="s">
        <v>508</v>
      </c>
      <c r="B2" s="1196"/>
      <c r="C2" s="1196"/>
      <c r="D2" s="1196"/>
      <c r="E2" s="1196"/>
      <c r="F2" s="1196"/>
      <c r="G2" s="1196"/>
      <c r="H2" s="1196"/>
      <c r="I2" s="1196"/>
      <c r="J2" s="1196"/>
      <c r="K2" s="1196"/>
      <c r="L2" s="1196"/>
      <c r="M2" s="1196"/>
      <c r="N2" s="1304"/>
    </row>
    <row r="3" spans="1:16" ht="15" customHeight="1" x14ac:dyDescent="0.2"/>
    <row r="4" spans="1:16" ht="20.100000000000001" customHeight="1" x14ac:dyDescent="0.25">
      <c r="A4" s="68" t="s">
        <v>254</v>
      </c>
      <c r="M4" s="8"/>
    </row>
    <row r="5" spans="1:16" ht="15" customHeight="1" thickBot="1" x14ac:dyDescent="0.3">
      <c r="A5" s="68"/>
      <c r="N5" s="8" t="s">
        <v>0</v>
      </c>
    </row>
    <row r="6" spans="1:16" s="62" customFormat="1" ht="15.9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16"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16" s="9" customFormat="1" ht="20.100000000000001" customHeight="1" thickBot="1" x14ac:dyDescent="0.3">
      <c r="A8" s="69"/>
      <c r="B8" s="10" t="s">
        <v>104</v>
      </c>
      <c r="C8" s="10"/>
      <c r="D8" s="11"/>
      <c r="E8" s="12"/>
      <c r="F8" s="11"/>
      <c r="G8" s="13"/>
      <c r="H8" s="13"/>
      <c r="I8" s="13"/>
      <c r="J8" s="13"/>
      <c r="K8" s="13"/>
      <c r="L8" s="268"/>
      <c r="M8" s="16"/>
      <c r="N8" s="16"/>
    </row>
    <row r="9" spans="1:16" s="509" customFormat="1" ht="20.100000000000001" customHeight="1" x14ac:dyDescent="0.2">
      <c r="A9" s="1326">
        <v>6172</v>
      </c>
      <c r="B9" s="1322" t="s">
        <v>105</v>
      </c>
      <c r="C9" s="1323"/>
      <c r="D9" s="436">
        <f>SUM(D10:D21)</f>
        <v>680544</v>
      </c>
      <c r="E9" s="471">
        <f>SUM(E10:E21)</f>
        <v>641633.77000000014</v>
      </c>
      <c r="F9" s="436">
        <f>SUM(F10:F21)</f>
        <v>718209</v>
      </c>
      <c r="G9" s="439">
        <f t="shared" ref="G9:K9" si="0">SUM(G10:G21)</f>
        <v>717894</v>
      </c>
      <c r="H9" s="440">
        <f t="shared" si="0"/>
        <v>453266.53000000009</v>
      </c>
      <c r="I9" s="472">
        <f t="shared" si="0"/>
        <v>702686</v>
      </c>
      <c r="J9" s="438">
        <f t="shared" si="0"/>
        <v>24622</v>
      </c>
      <c r="K9" s="1021">
        <f t="shared" si="0"/>
        <v>10510</v>
      </c>
      <c r="L9" s="961">
        <f>SUM(I9:K9)</f>
        <v>737818</v>
      </c>
      <c r="M9" s="476">
        <f t="shared" ref="M9:M25" si="1">L9/F9*100</f>
        <v>102.73026375330858</v>
      </c>
      <c r="N9" s="442">
        <f>L9/G9*100</f>
        <v>102.7753400919913</v>
      </c>
      <c r="O9" s="527"/>
    </row>
    <row r="10" spans="1:16" ht="15" customHeight="1" x14ac:dyDescent="0.2">
      <c r="A10" s="1300"/>
      <c r="B10" s="1318" t="s">
        <v>96</v>
      </c>
      <c r="C10" s="199" t="s">
        <v>222</v>
      </c>
      <c r="D10" s="901">
        <v>478740</v>
      </c>
      <c r="E10" s="902">
        <v>457008.64000000001</v>
      </c>
      <c r="F10" s="901">
        <v>508500</v>
      </c>
      <c r="G10" s="867">
        <v>507800</v>
      </c>
      <c r="H10" s="868">
        <v>327791.09000000003</v>
      </c>
      <c r="I10" s="1008">
        <v>503240</v>
      </c>
      <c r="J10" s="1009">
        <v>15000</v>
      </c>
      <c r="K10" s="1010">
        <v>5000</v>
      </c>
      <c r="L10" s="1056">
        <f>SUM(I10:K10)</f>
        <v>523240</v>
      </c>
      <c r="M10" s="92">
        <f t="shared" si="1"/>
        <v>102.89872173058015</v>
      </c>
      <c r="N10" s="64">
        <f>L10/G10*100</f>
        <v>103.04056715242223</v>
      </c>
      <c r="O10" s="17"/>
    </row>
    <row r="11" spans="1:16" ht="15" customHeight="1" x14ac:dyDescent="0.2">
      <c r="A11" s="1300"/>
      <c r="B11" s="1319"/>
      <c r="C11" s="199" t="s">
        <v>446</v>
      </c>
      <c r="D11" s="903">
        <v>11100</v>
      </c>
      <c r="E11" s="904">
        <v>14320.68</v>
      </c>
      <c r="F11" s="903">
        <v>13000</v>
      </c>
      <c r="G11" s="361">
        <v>13000</v>
      </c>
      <c r="H11" s="93">
        <v>8320.68</v>
      </c>
      <c r="I11" s="83">
        <v>9900</v>
      </c>
      <c r="J11" s="1014">
        <v>1500</v>
      </c>
      <c r="K11" s="1015">
        <v>1600</v>
      </c>
      <c r="L11" s="1011">
        <f t="shared" ref="L11:L21" si="2">SUM(I11:K11)</f>
        <v>13000</v>
      </c>
      <c r="M11" s="92">
        <f t="shared" si="1"/>
        <v>100</v>
      </c>
      <c r="N11" s="64">
        <f t="shared" ref="N11:N17" si="3">L11/G11*100</f>
        <v>100</v>
      </c>
      <c r="O11" s="267"/>
      <c r="P11" s="2"/>
    </row>
    <row r="12" spans="1:16" ht="25.5" customHeight="1" x14ac:dyDescent="0.2">
      <c r="A12" s="1300"/>
      <c r="B12" s="1319"/>
      <c r="C12" s="199" t="s">
        <v>447</v>
      </c>
      <c r="D12" s="80">
        <v>172063</v>
      </c>
      <c r="E12" s="93">
        <v>160067.74</v>
      </c>
      <c r="F12" s="80">
        <v>181830</v>
      </c>
      <c r="G12" s="361">
        <v>182215</v>
      </c>
      <c r="H12" s="93">
        <v>113386.44</v>
      </c>
      <c r="I12" s="83">
        <v>179609</v>
      </c>
      <c r="J12" s="1014">
        <v>5310</v>
      </c>
      <c r="K12" s="1015">
        <v>1770</v>
      </c>
      <c r="L12" s="1011">
        <f t="shared" si="2"/>
        <v>186689</v>
      </c>
      <c r="M12" s="92">
        <f t="shared" si="1"/>
        <v>102.67227630204036</v>
      </c>
      <c r="N12" s="79">
        <f t="shared" si="3"/>
        <v>102.45534121779217</v>
      </c>
      <c r="O12" s="17"/>
    </row>
    <row r="13" spans="1:16" ht="15" customHeight="1" x14ac:dyDescent="0.2">
      <c r="A13" s="1300"/>
      <c r="B13" s="1319"/>
      <c r="C13" s="199" t="s">
        <v>448</v>
      </c>
      <c r="D13" s="903">
        <v>25</v>
      </c>
      <c r="E13" s="904">
        <v>0</v>
      </c>
      <c r="F13" s="903">
        <v>0</v>
      </c>
      <c r="G13" s="361">
        <v>0</v>
      </c>
      <c r="H13" s="93">
        <v>0</v>
      </c>
      <c r="I13" s="83">
        <v>0</v>
      </c>
      <c r="J13" s="1014">
        <v>0</v>
      </c>
      <c r="K13" s="1015">
        <v>0</v>
      </c>
      <c r="L13" s="1011">
        <f>SUM(I13:K13)</f>
        <v>0</v>
      </c>
      <c r="M13" s="92" t="s">
        <v>60</v>
      </c>
      <c r="N13" s="64" t="s">
        <v>60</v>
      </c>
      <c r="O13" s="17"/>
    </row>
    <row r="14" spans="1:16" ht="15" customHeight="1" x14ac:dyDescent="0.2">
      <c r="A14" s="1300"/>
      <c r="B14" s="1319"/>
      <c r="C14" s="199" t="s">
        <v>449</v>
      </c>
      <c r="D14" s="903">
        <v>200</v>
      </c>
      <c r="E14" s="904">
        <v>117.42</v>
      </c>
      <c r="F14" s="903">
        <v>220</v>
      </c>
      <c r="G14" s="361">
        <v>220</v>
      </c>
      <c r="H14" s="93">
        <v>78.27</v>
      </c>
      <c r="I14" s="80">
        <v>120</v>
      </c>
      <c r="J14" s="1054">
        <v>60</v>
      </c>
      <c r="K14" s="1055">
        <v>40</v>
      </c>
      <c r="L14" s="1011">
        <f t="shared" si="2"/>
        <v>220</v>
      </c>
      <c r="M14" s="92">
        <f t="shared" si="1"/>
        <v>100</v>
      </c>
      <c r="N14" s="64">
        <f t="shared" si="3"/>
        <v>100</v>
      </c>
      <c r="O14" s="17"/>
    </row>
    <row r="15" spans="1:16" ht="15" customHeight="1" x14ac:dyDescent="0.2">
      <c r="A15" s="1300"/>
      <c r="B15" s="1319"/>
      <c r="C15" s="646" t="s">
        <v>256</v>
      </c>
      <c r="D15" s="903">
        <v>0</v>
      </c>
      <c r="E15" s="904">
        <v>0.15</v>
      </c>
      <c r="F15" s="903">
        <v>0</v>
      </c>
      <c r="G15" s="361">
        <v>1.1499999999999999</v>
      </c>
      <c r="H15" s="93">
        <v>1.1499999999999999</v>
      </c>
      <c r="I15" s="80">
        <v>0</v>
      </c>
      <c r="J15" s="1054">
        <v>0</v>
      </c>
      <c r="K15" s="1055">
        <v>0</v>
      </c>
      <c r="L15" s="1011">
        <f t="shared" ref="L15" si="4">SUM(I15:K15)</f>
        <v>0</v>
      </c>
      <c r="M15" s="92" t="s">
        <v>60</v>
      </c>
      <c r="N15" s="64">
        <f t="shared" ref="N15" si="5">L15/G15*100</f>
        <v>0</v>
      </c>
      <c r="O15" s="17"/>
    </row>
    <row r="16" spans="1:16" ht="15" customHeight="1" x14ac:dyDescent="0.2">
      <c r="A16" s="1300"/>
      <c r="B16" s="1319"/>
      <c r="C16" s="199" t="s">
        <v>450</v>
      </c>
      <c r="D16" s="903">
        <v>13820</v>
      </c>
      <c r="E16" s="904">
        <v>5269.31</v>
      </c>
      <c r="F16" s="903">
        <v>13489</v>
      </c>
      <c r="G16" s="869">
        <v>13219</v>
      </c>
      <c r="H16" s="75">
        <v>2745.76</v>
      </c>
      <c r="I16" s="74">
        <v>8787</v>
      </c>
      <c r="J16" s="340">
        <v>2602</v>
      </c>
      <c r="K16" s="1058">
        <v>2000</v>
      </c>
      <c r="L16" s="1011">
        <f t="shared" si="2"/>
        <v>13389</v>
      </c>
      <c r="M16" s="92">
        <f t="shared" si="1"/>
        <v>99.258655200533767</v>
      </c>
      <c r="N16" s="64">
        <f t="shared" si="3"/>
        <v>101.28602768741963</v>
      </c>
      <c r="O16" s="17"/>
    </row>
    <row r="17" spans="1:15" ht="15" customHeight="1" x14ac:dyDescent="0.2">
      <c r="A17" s="1300"/>
      <c r="B17" s="1319"/>
      <c r="C17" s="199" t="s">
        <v>451</v>
      </c>
      <c r="D17" s="903">
        <v>200</v>
      </c>
      <c r="E17" s="904">
        <v>386.39</v>
      </c>
      <c r="F17" s="903">
        <v>300</v>
      </c>
      <c r="G17" s="869">
        <v>570</v>
      </c>
      <c r="H17" s="75">
        <v>314.45999999999998</v>
      </c>
      <c r="I17" s="872">
        <v>250</v>
      </c>
      <c r="J17" s="963">
        <v>100</v>
      </c>
      <c r="K17" s="964">
        <v>50</v>
      </c>
      <c r="L17" s="1011">
        <f t="shared" si="2"/>
        <v>400</v>
      </c>
      <c r="M17" s="92">
        <f t="shared" si="1"/>
        <v>133.33333333333331</v>
      </c>
      <c r="N17" s="64">
        <f t="shared" si="3"/>
        <v>70.175438596491219</v>
      </c>
      <c r="O17" s="17"/>
    </row>
    <row r="18" spans="1:15" s="67" customFormat="1" ht="27" customHeight="1" x14ac:dyDescent="0.2">
      <c r="A18" s="1300"/>
      <c r="B18" s="1319"/>
      <c r="C18" s="199" t="s">
        <v>317</v>
      </c>
      <c r="D18" s="80">
        <v>800</v>
      </c>
      <c r="E18" s="93">
        <v>528.69000000000005</v>
      </c>
      <c r="F18" s="80">
        <v>800</v>
      </c>
      <c r="G18" s="869">
        <v>798.84</v>
      </c>
      <c r="H18" s="75">
        <v>581.25</v>
      </c>
      <c r="I18" s="872">
        <v>700</v>
      </c>
      <c r="J18" s="963">
        <v>50</v>
      </c>
      <c r="K18" s="964">
        <v>50</v>
      </c>
      <c r="L18" s="1011">
        <f t="shared" si="2"/>
        <v>800</v>
      </c>
      <c r="M18" s="92">
        <f t="shared" ref="M18" si="6">L18/F18*100</f>
        <v>100</v>
      </c>
      <c r="N18" s="79">
        <f t="shared" ref="N18" si="7">L18/G18*100</f>
        <v>100.14521055530518</v>
      </c>
      <c r="O18" s="339"/>
    </row>
    <row r="19" spans="1:15" s="67" customFormat="1" ht="27" customHeight="1" x14ac:dyDescent="0.2">
      <c r="A19" s="1300"/>
      <c r="B19" s="1319"/>
      <c r="C19" s="856" t="s">
        <v>461</v>
      </c>
      <c r="D19" s="905">
        <v>0</v>
      </c>
      <c r="E19" s="99">
        <v>248.1</v>
      </c>
      <c r="F19" s="74">
        <v>0</v>
      </c>
      <c r="G19" s="869">
        <v>0.01</v>
      </c>
      <c r="H19" s="75">
        <v>0.01</v>
      </c>
      <c r="I19" s="872">
        <v>0</v>
      </c>
      <c r="J19" s="963">
        <v>0</v>
      </c>
      <c r="K19" s="964">
        <v>0</v>
      </c>
      <c r="L19" s="1011">
        <f t="shared" ref="L19" si="8">SUM(I19:K19)</f>
        <v>0</v>
      </c>
      <c r="M19" s="92" t="s">
        <v>60</v>
      </c>
      <c r="N19" s="64">
        <f t="shared" ref="N19" si="9">L19/G19*100</f>
        <v>0</v>
      </c>
      <c r="O19" s="339"/>
    </row>
    <row r="20" spans="1:15" ht="15" customHeight="1" x14ac:dyDescent="0.2">
      <c r="A20" s="1300"/>
      <c r="B20" s="1319"/>
      <c r="C20" s="199" t="s">
        <v>452</v>
      </c>
      <c r="D20" s="903">
        <v>3500</v>
      </c>
      <c r="E20" s="904">
        <v>3624.66</v>
      </c>
      <c r="F20" s="903">
        <v>0</v>
      </c>
      <c r="G20" s="869">
        <v>0</v>
      </c>
      <c r="H20" s="75">
        <v>0</v>
      </c>
      <c r="I20" s="872">
        <v>0</v>
      </c>
      <c r="J20" s="963">
        <v>0</v>
      </c>
      <c r="K20" s="964">
        <v>0</v>
      </c>
      <c r="L20" s="1011">
        <f t="shared" si="2"/>
        <v>0</v>
      </c>
      <c r="M20" s="92" t="s">
        <v>60</v>
      </c>
      <c r="N20" s="79" t="s">
        <v>60</v>
      </c>
      <c r="O20" s="17"/>
    </row>
    <row r="21" spans="1:15" ht="51" customHeight="1" x14ac:dyDescent="0.2">
      <c r="A21" s="1300"/>
      <c r="B21" s="1319"/>
      <c r="C21" s="199" t="s">
        <v>453</v>
      </c>
      <c r="D21" s="80">
        <v>96</v>
      </c>
      <c r="E21" s="93">
        <v>61.99</v>
      </c>
      <c r="F21" s="80">
        <v>70</v>
      </c>
      <c r="G21" s="869">
        <v>70</v>
      </c>
      <c r="H21" s="75">
        <v>47.42</v>
      </c>
      <c r="I21" s="872">
        <v>80</v>
      </c>
      <c r="J21" s="963">
        <v>0</v>
      </c>
      <c r="K21" s="964">
        <v>0</v>
      </c>
      <c r="L21" s="1011">
        <f t="shared" si="2"/>
        <v>80</v>
      </c>
      <c r="M21" s="92">
        <f t="shared" si="1"/>
        <v>114.28571428571428</v>
      </c>
      <c r="N21" s="79">
        <f t="shared" ref="N21:N25" si="10">L21/G21*100</f>
        <v>114.28571428571428</v>
      </c>
      <c r="O21" s="17"/>
    </row>
    <row r="22" spans="1:15" ht="15" customHeight="1" x14ac:dyDescent="0.2">
      <c r="A22" s="1300"/>
      <c r="B22" s="624" t="s">
        <v>96</v>
      </c>
      <c r="C22" s="638" t="s">
        <v>375</v>
      </c>
      <c r="D22" s="903">
        <v>661903</v>
      </c>
      <c r="E22" s="904">
        <v>631397.06000000006</v>
      </c>
      <c r="F22" s="80">
        <v>699830</v>
      </c>
      <c r="G22" s="869">
        <v>699515</v>
      </c>
      <c r="H22" s="75">
        <v>447204.04</v>
      </c>
      <c r="I22" s="872">
        <f>SUM(I10:I12)</f>
        <v>692749</v>
      </c>
      <c r="J22" s="963">
        <f t="shared" ref="J22:K22" si="11">SUM(J10:J12)</f>
        <v>21810</v>
      </c>
      <c r="K22" s="964">
        <f t="shared" si="11"/>
        <v>8370</v>
      </c>
      <c r="L22" s="1011">
        <f t="shared" ref="L22" si="12">SUM(L10:L12)</f>
        <v>722929</v>
      </c>
      <c r="M22" s="92">
        <f t="shared" si="1"/>
        <v>103.30065873140619</v>
      </c>
      <c r="N22" s="79">
        <f t="shared" si="10"/>
        <v>103.34717625783578</v>
      </c>
    </row>
    <row r="23" spans="1:15" s="20" customFormat="1" ht="29.25" customHeight="1" x14ac:dyDescent="0.25">
      <c r="A23" s="489">
        <v>6330</v>
      </c>
      <c r="B23" s="1293" t="s">
        <v>197</v>
      </c>
      <c r="C23" s="1294"/>
      <c r="D23" s="454">
        <v>0</v>
      </c>
      <c r="E23" s="473">
        <v>21580.400000000001</v>
      </c>
      <c r="F23" s="454">
        <v>0</v>
      </c>
      <c r="G23" s="479">
        <v>27105</v>
      </c>
      <c r="H23" s="486">
        <v>20737.5</v>
      </c>
      <c r="I23" s="1022">
        <v>0</v>
      </c>
      <c r="J23" s="1023">
        <v>0</v>
      </c>
      <c r="K23" s="1024">
        <v>0</v>
      </c>
      <c r="L23" s="962">
        <f>SUM(I23:K23)</f>
        <v>0</v>
      </c>
      <c r="M23" s="459" t="s">
        <v>60</v>
      </c>
      <c r="N23" s="460">
        <f t="shared" si="10"/>
        <v>0</v>
      </c>
    </row>
    <row r="24" spans="1:15" s="509" customFormat="1" ht="20.100000000000001" customHeight="1" thickBot="1" x14ac:dyDescent="0.25">
      <c r="A24" s="496">
        <v>6409</v>
      </c>
      <c r="B24" s="1399" t="s">
        <v>271</v>
      </c>
      <c r="C24" s="1400"/>
      <c r="D24" s="481">
        <v>19118</v>
      </c>
      <c r="E24" s="553">
        <v>0</v>
      </c>
      <c r="F24" s="481">
        <v>25250</v>
      </c>
      <c r="G24" s="482">
        <v>0</v>
      </c>
      <c r="H24" s="557">
        <v>0</v>
      </c>
      <c r="I24" s="743">
        <v>25162</v>
      </c>
      <c r="J24" s="979">
        <v>750</v>
      </c>
      <c r="K24" s="1059">
        <v>250</v>
      </c>
      <c r="L24" s="980">
        <f>SUM(I24:K24)</f>
        <v>26162</v>
      </c>
      <c r="M24" s="855">
        <f t="shared" ref="M24" si="13">L24/F24*100</f>
        <v>103.61188118811882</v>
      </c>
      <c r="N24" s="460" t="s">
        <v>60</v>
      </c>
    </row>
    <row r="25" spans="1:15" ht="20.100000000000001" customHeight="1" thickBot="1" x14ac:dyDescent="0.3">
      <c r="A25" s="186"/>
      <c r="B25" s="1397" t="s">
        <v>85</v>
      </c>
      <c r="C25" s="1398"/>
      <c r="D25" s="181">
        <f t="shared" ref="D25:L25" si="14">+D9+D23+D24</f>
        <v>699662</v>
      </c>
      <c r="E25" s="182">
        <f t="shared" si="14"/>
        <v>663214.17000000016</v>
      </c>
      <c r="F25" s="181">
        <f t="shared" si="14"/>
        <v>743459</v>
      </c>
      <c r="G25" s="183">
        <f t="shared" si="14"/>
        <v>744999</v>
      </c>
      <c r="H25" s="182">
        <f>H9+H23+H24</f>
        <v>474004.03000000009</v>
      </c>
      <c r="I25" s="181">
        <f t="shared" si="14"/>
        <v>727848</v>
      </c>
      <c r="J25" s="956">
        <f t="shared" si="14"/>
        <v>25372</v>
      </c>
      <c r="K25" s="191">
        <f t="shared" si="14"/>
        <v>10760</v>
      </c>
      <c r="L25" s="981">
        <f t="shared" si="14"/>
        <v>763980</v>
      </c>
      <c r="M25" s="192">
        <f t="shared" si="1"/>
        <v>102.76020601001534</v>
      </c>
      <c r="N25" s="189">
        <f t="shared" si="10"/>
        <v>102.54778865474987</v>
      </c>
    </row>
    <row r="26" spans="1:15" ht="15" x14ac:dyDescent="0.25">
      <c r="A26" s="70"/>
      <c r="B26" s="20"/>
      <c r="C26" s="20"/>
      <c r="D26" s="168"/>
      <c r="E26" s="167"/>
      <c r="F26" s="168"/>
      <c r="G26" s="170"/>
      <c r="H26" s="170"/>
      <c r="I26" s="170"/>
      <c r="J26" s="170"/>
      <c r="K26" s="170"/>
      <c r="L26" s="170"/>
      <c r="M26" s="24"/>
      <c r="N26" s="25"/>
    </row>
    <row r="27" spans="1:15" x14ac:dyDescent="0.2">
      <c r="D27" s="3"/>
      <c r="F27" s="3"/>
      <c r="L27" s="3"/>
    </row>
    <row r="28" spans="1:15" x14ac:dyDescent="0.2">
      <c r="D28" s="3"/>
      <c r="F28" s="3"/>
      <c r="L28" s="3"/>
      <c r="M28" s="1152"/>
    </row>
  </sheetData>
  <mergeCells count="14">
    <mergeCell ref="B25:C25"/>
    <mergeCell ref="A2:N2"/>
    <mergeCell ref="A6:A7"/>
    <mergeCell ref="B6:C7"/>
    <mergeCell ref="D6:E6"/>
    <mergeCell ref="F6:H6"/>
    <mergeCell ref="I6:L6"/>
    <mergeCell ref="M6:M7"/>
    <mergeCell ref="N6:N7"/>
    <mergeCell ref="B23:C23"/>
    <mergeCell ref="B24:C24"/>
    <mergeCell ref="A9:A22"/>
    <mergeCell ref="B9:C9"/>
    <mergeCell ref="B10:B21"/>
  </mergeCells>
  <dataValidations count="1">
    <dataValidation type="whole" operator="greaterThanOrEqual" allowBlank="1" showInputMessage="1" showErrorMessage="1" error="Nutno zadat celé číslo" sqref="I10:K13 I17:K21" xr:uid="{9FE6F147-BB8C-414D-9088-53E7E641AD3F}">
      <formula1>0</formula1>
    </dataValidation>
  </dataValidations>
  <pageMargins left="0.70866141732283472" right="0.70866141732283472" top="0.78740157480314965" bottom="0.78740157480314965" header="0.31496062992125984" footer="0.31496062992125984"/>
  <pageSetup paperSize="9" scale="6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V13"/>
  <sheetViews>
    <sheetView workbookViewId="0"/>
  </sheetViews>
  <sheetFormatPr defaultColWidth="9.140625" defaultRowHeight="12.75" x14ac:dyDescent="0.2"/>
  <cols>
    <col min="1" max="1" width="7.7109375" style="1" customWidth="1"/>
    <col min="2" max="2" width="46.7109375" style="1" customWidth="1"/>
    <col min="3" max="3" width="14.7109375" style="2" customWidth="1"/>
    <col min="4" max="4" width="14.7109375" style="3" customWidth="1"/>
    <col min="5" max="5" width="14.7109375" style="2" customWidth="1"/>
    <col min="6" max="6" width="15.85546875" style="3" customWidth="1"/>
    <col min="7" max="7" width="14.7109375" style="3" customWidth="1"/>
    <col min="8" max="8" width="14.7109375" style="2" customWidth="1"/>
    <col min="9" max="9" width="16" style="2" customWidth="1"/>
    <col min="10" max="10" width="14.7109375" style="2" customWidth="1"/>
    <col min="11" max="11" width="14.7109375" style="4" customWidth="1"/>
    <col min="12" max="13" width="9.7109375" style="5" customWidth="1"/>
    <col min="14" max="16384" width="9.140625" style="1"/>
  </cols>
  <sheetData>
    <row r="1" spans="1:22" ht="15" x14ac:dyDescent="0.25">
      <c r="A1" s="29"/>
      <c r="B1" s="29"/>
      <c r="C1" s="29"/>
      <c r="D1" s="29"/>
      <c r="E1" s="29"/>
      <c r="F1" s="29"/>
      <c r="G1" s="29"/>
      <c r="H1" s="29"/>
      <c r="I1" s="29"/>
      <c r="J1" s="29"/>
      <c r="K1" s="29"/>
      <c r="L1" s="29"/>
      <c r="M1" s="6"/>
      <c r="N1" s="29"/>
      <c r="O1" s="29"/>
      <c r="P1" s="29"/>
      <c r="Q1" s="29"/>
      <c r="R1" s="29"/>
      <c r="S1" s="29"/>
      <c r="T1" s="29"/>
      <c r="U1" s="29"/>
      <c r="V1" s="29"/>
    </row>
    <row r="2" spans="1:22" ht="20.100000000000001" customHeight="1" x14ac:dyDescent="0.35">
      <c r="A2" s="1303" t="s">
        <v>508</v>
      </c>
      <c r="B2" s="1303"/>
      <c r="C2" s="1303"/>
      <c r="D2" s="1303"/>
      <c r="E2" s="1303"/>
      <c r="F2" s="1303"/>
      <c r="G2" s="1303"/>
      <c r="H2" s="1303"/>
      <c r="I2" s="1303"/>
      <c r="J2" s="1303"/>
      <c r="K2" s="1303"/>
      <c r="L2" s="1303"/>
      <c r="M2" s="1303"/>
      <c r="N2" s="29"/>
      <c r="O2" s="29"/>
      <c r="P2" s="29"/>
      <c r="Q2" s="29"/>
      <c r="R2" s="29"/>
      <c r="S2" s="29"/>
      <c r="T2" s="29"/>
      <c r="U2" s="29"/>
      <c r="V2" s="29"/>
    </row>
    <row r="3" spans="1:22" ht="15" customHeight="1" x14ac:dyDescent="0.2"/>
    <row r="4" spans="1:22" ht="20.100000000000001" customHeight="1" x14ac:dyDescent="0.3">
      <c r="A4" s="7" t="s">
        <v>236</v>
      </c>
      <c r="B4" s="29"/>
      <c r="C4" s="29"/>
      <c r="D4" s="29"/>
      <c r="E4" s="29"/>
      <c r="F4" s="29"/>
      <c r="G4" s="29"/>
      <c r="H4" s="29"/>
      <c r="I4" s="29"/>
      <c r="J4" s="29"/>
      <c r="K4" s="29"/>
      <c r="L4" s="126"/>
      <c r="M4" s="29"/>
      <c r="N4" s="29"/>
      <c r="O4" s="29"/>
      <c r="P4" s="29"/>
      <c r="Q4" s="29"/>
      <c r="R4" s="29"/>
      <c r="S4" s="29"/>
      <c r="T4" s="29"/>
      <c r="U4" s="29"/>
      <c r="V4" s="29"/>
    </row>
    <row r="5" spans="1:22" ht="15" customHeight="1" thickBot="1" x14ac:dyDescent="0.35">
      <c r="A5" s="7"/>
      <c r="B5" s="29"/>
      <c r="C5" s="29"/>
      <c r="D5" s="29"/>
      <c r="E5" s="29"/>
      <c r="F5" s="29"/>
      <c r="G5" s="29"/>
      <c r="H5" s="29"/>
      <c r="I5" s="29"/>
      <c r="J5" s="29"/>
      <c r="K5" s="29"/>
      <c r="L5" s="29"/>
      <c r="M5" s="126" t="s">
        <v>0</v>
      </c>
      <c r="N5" s="29"/>
      <c r="O5" s="29"/>
      <c r="P5" s="29"/>
      <c r="Q5" s="29"/>
      <c r="R5" s="29"/>
      <c r="S5" s="29"/>
      <c r="T5" s="29"/>
      <c r="U5" s="29"/>
      <c r="V5" s="29"/>
    </row>
    <row r="6" spans="1:22" ht="15.75" customHeight="1" x14ac:dyDescent="0.2">
      <c r="A6" s="1305" t="s">
        <v>88</v>
      </c>
      <c r="B6" s="1315" t="s">
        <v>103</v>
      </c>
      <c r="C6" s="1198" t="s">
        <v>365</v>
      </c>
      <c r="D6" s="1199"/>
      <c r="E6" s="1198" t="s">
        <v>440</v>
      </c>
      <c r="F6" s="1202"/>
      <c r="G6" s="1199"/>
      <c r="H6" s="1307" t="s">
        <v>507</v>
      </c>
      <c r="I6" s="1308"/>
      <c r="J6" s="1308"/>
      <c r="K6" s="1309"/>
      <c r="L6" s="1310" t="s">
        <v>509</v>
      </c>
      <c r="M6" s="1312" t="s">
        <v>510</v>
      </c>
      <c r="N6" s="62"/>
      <c r="O6" s="62"/>
      <c r="P6" s="62"/>
      <c r="Q6" s="62"/>
      <c r="R6" s="62"/>
      <c r="S6" s="62"/>
      <c r="T6" s="62"/>
      <c r="U6" s="62"/>
      <c r="V6" s="62"/>
    </row>
    <row r="7" spans="1:22" ht="27" customHeight="1" thickBot="1" x14ac:dyDescent="0.25">
      <c r="A7" s="1306"/>
      <c r="B7" s="1317"/>
      <c r="C7" s="177" t="s">
        <v>108</v>
      </c>
      <c r="D7" s="178" t="s">
        <v>126</v>
      </c>
      <c r="E7" s="264" t="s">
        <v>109</v>
      </c>
      <c r="F7" s="265" t="s">
        <v>589</v>
      </c>
      <c r="G7" s="266" t="s">
        <v>591</v>
      </c>
      <c r="H7" s="824" t="s">
        <v>124</v>
      </c>
      <c r="I7" s="825" t="s">
        <v>125</v>
      </c>
      <c r="J7" s="826" t="s">
        <v>314</v>
      </c>
      <c r="K7" s="821" t="s">
        <v>85</v>
      </c>
      <c r="L7" s="1311"/>
      <c r="M7" s="1313"/>
      <c r="N7" s="62"/>
      <c r="O7" s="62"/>
      <c r="P7" s="62"/>
      <c r="Q7" s="62"/>
      <c r="R7" s="62"/>
      <c r="S7" s="62"/>
      <c r="T7" s="62"/>
      <c r="U7" s="62"/>
      <c r="V7" s="62"/>
    </row>
    <row r="8" spans="1:22" ht="20.100000000000001" customHeight="1" thickBot="1" x14ac:dyDescent="0.3">
      <c r="A8" s="9"/>
      <c r="B8" s="127" t="s">
        <v>104</v>
      </c>
      <c r="C8" s="128"/>
      <c r="D8" s="129"/>
      <c r="E8" s="128"/>
      <c r="F8" s="13"/>
      <c r="G8" s="13"/>
      <c r="H8" s="14"/>
      <c r="I8" s="14"/>
      <c r="J8" s="14"/>
      <c r="K8" s="15"/>
      <c r="L8" s="16"/>
      <c r="M8" s="16"/>
      <c r="N8" s="9"/>
      <c r="O8" s="9"/>
      <c r="P8" s="9"/>
      <c r="Q8" s="9"/>
      <c r="R8" s="9"/>
      <c r="S8" s="9"/>
      <c r="T8" s="9"/>
      <c r="U8" s="9"/>
      <c r="V8" s="9"/>
    </row>
    <row r="9" spans="1:22" s="19" customFormat="1" ht="20.100000000000001" customHeight="1" thickBot="1" x14ac:dyDescent="0.3">
      <c r="A9" s="491">
        <v>3636</v>
      </c>
      <c r="B9" s="1188" t="s">
        <v>119</v>
      </c>
      <c r="C9" s="436">
        <v>2161</v>
      </c>
      <c r="D9" s="492">
        <v>2844.58</v>
      </c>
      <c r="E9" s="436">
        <v>1422</v>
      </c>
      <c r="F9" s="439">
        <v>4078.6</v>
      </c>
      <c r="G9" s="440">
        <v>1733.53</v>
      </c>
      <c r="H9" s="472">
        <v>1543</v>
      </c>
      <c r="I9" s="438">
        <v>0</v>
      </c>
      <c r="J9" s="1021">
        <v>0</v>
      </c>
      <c r="K9" s="961">
        <f>SUM(H9:J9)</f>
        <v>1543</v>
      </c>
      <c r="L9" s="441">
        <f>K9/E9*100</f>
        <v>108.50914205344586</v>
      </c>
      <c r="M9" s="442">
        <f>K9/F9*100</f>
        <v>37.831608885401849</v>
      </c>
      <c r="N9" s="1163"/>
      <c r="O9" s="1163"/>
      <c r="P9" s="1163"/>
      <c r="Q9" s="1163"/>
      <c r="R9" s="1163"/>
      <c r="S9" s="1163"/>
      <c r="T9" s="1163"/>
      <c r="U9" s="1163"/>
      <c r="V9" s="1163"/>
    </row>
    <row r="10" spans="1:22" ht="20.100000000000001" customHeight="1" thickBot="1" x14ac:dyDescent="0.3">
      <c r="A10" s="190"/>
      <c r="B10" s="201" t="s">
        <v>85</v>
      </c>
      <c r="C10" s="187">
        <f>SUM(C9)</f>
        <v>2161</v>
      </c>
      <c r="D10" s="202">
        <f>SUM(D9)</f>
        <v>2844.58</v>
      </c>
      <c r="E10" s="187">
        <f t="shared" ref="E10:K10" si="0">SUM(E9:E9)</f>
        <v>1422</v>
      </c>
      <c r="F10" s="203">
        <f t="shared" si="0"/>
        <v>4078.6</v>
      </c>
      <c r="G10" s="203">
        <f t="shared" si="0"/>
        <v>1733.53</v>
      </c>
      <c r="H10" s="187">
        <f t="shared" si="0"/>
        <v>1543</v>
      </c>
      <c r="I10" s="1051">
        <f t="shared" si="0"/>
        <v>0</v>
      </c>
      <c r="J10" s="1052">
        <f t="shared" si="0"/>
        <v>0</v>
      </c>
      <c r="K10" s="1053">
        <f t="shared" si="0"/>
        <v>1543</v>
      </c>
      <c r="L10" s="184">
        <f>K10/E10*100</f>
        <v>108.50914205344586</v>
      </c>
      <c r="M10" s="185">
        <f>K10/F10*100</f>
        <v>37.831608885401849</v>
      </c>
      <c r="N10" s="18"/>
      <c r="O10" s="19"/>
      <c r="P10" s="19"/>
      <c r="Q10" s="19"/>
      <c r="R10" s="19"/>
      <c r="S10" s="19"/>
      <c r="T10" s="19"/>
      <c r="U10" s="19"/>
      <c r="V10" s="19"/>
    </row>
    <row r="12" spans="1:22" x14ac:dyDescent="0.2">
      <c r="C12" s="3"/>
      <c r="E12" s="3"/>
      <c r="H12" s="3"/>
      <c r="I12" s="3"/>
      <c r="J12" s="3"/>
      <c r="K12" s="3"/>
    </row>
    <row r="13" spans="1:22" x14ac:dyDescent="0.2">
      <c r="C13" s="3"/>
      <c r="E13" s="3"/>
      <c r="H13" s="3"/>
      <c r="I13" s="3"/>
      <c r="J13" s="3"/>
      <c r="K13" s="3"/>
      <c r="L13" s="1152"/>
    </row>
  </sheetData>
  <mergeCells count="8">
    <mergeCell ref="A2:M2"/>
    <mergeCell ref="A6:A7"/>
    <mergeCell ref="B6:B7"/>
    <mergeCell ref="C6:D6"/>
    <mergeCell ref="E6:G6"/>
    <mergeCell ref="H6:K6"/>
    <mergeCell ref="L6:L7"/>
    <mergeCell ref="M6:M7"/>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454A6-DA91-4223-B564-A51C5516E12C}">
  <sheetPr>
    <pageSetUpPr fitToPage="1"/>
  </sheetPr>
  <dimension ref="A1:V13"/>
  <sheetViews>
    <sheetView workbookViewId="0"/>
  </sheetViews>
  <sheetFormatPr defaultColWidth="9.140625" defaultRowHeight="12.75" x14ac:dyDescent="0.2"/>
  <cols>
    <col min="1" max="1" width="7.7109375" style="1" customWidth="1"/>
    <col min="2" max="2" width="46.7109375" style="1" customWidth="1"/>
    <col min="3" max="3" width="14.7109375" style="2" customWidth="1"/>
    <col min="4" max="4" width="14.7109375" style="3" customWidth="1"/>
    <col min="5" max="5" width="14.7109375" style="2" customWidth="1"/>
    <col min="6" max="6" width="15.7109375" style="3" customWidth="1"/>
    <col min="7" max="7" width="14.7109375" style="3" customWidth="1"/>
    <col min="8" max="8" width="14.7109375" style="2" customWidth="1"/>
    <col min="9" max="9" width="16" style="2" customWidth="1"/>
    <col min="10" max="10" width="14.7109375" style="2" customWidth="1"/>
    <col min="11" max="11" width="14.7109375" style="4" customWidth="1"/>
    <col min="12" max="13" width="9.7109375" style="5" customWidth="1"/>
    <col min="14" max="16384" width="9.140625" style="1"/>
  </cols>
  <sheetData>
    <row r="1" spans="1:22" ht="15" x14ac:dyDescent="0.25">
      <c r="A1" s="29"/>
      <c r="B1" s="29"/>
      <c r="C1" s="29"/>
      <c r="D1" s="29"/>
      <c r="E1" s="29"/>
      <c r="F1" s="29"/>
      <c r="G1" s="29"/>
      <c r="H1" s="29"/>
      <c r="I1" s="29"/>
      <c r="J1" s="29"/>
      <c r="K1" s="29"/>
      <c r="L1" s="29"/>
      <c r="M1" s="6"/>
      <c r="N1" s="29"/>
      <c r="O1" s="29"/>
      <c r="P1" s="29"/>
      <c r="Q1" s="29"/>
      <c r="R1" s="29"/>
      <c r="S1" s="29"/>
      <c r="T1" s="29"/>
      <c r="U1" s="29"/>
      <c r="V1" s="29"/>
    </row>
    <row r="2" spans="1:22" ht="20.100000000000001" customHeight="1" x14ac:dyDescent="0.35">
      <c r="A2" s="1303" t="s">
        <v>508</v>
      </c>
      <c r="B2" s="1303"/>
      <c r="C2" s="1303"/>
      <c r="D2" s="1303"/>
      <c r="E2" s="1303"/>
      <c r="F2" s="1303"/>
      <c r="G2" s="1303"/>
      <c r="H2" s="1303"/>
      <c r="I2" s="1303"/>
      <c r="J2" s="1303"/>
      <c r="K2" s="1303"/>
      <c r="L2" s="1303"/>
      <c r="M2" s="1303"/>
      <c r="N2" s="29"/>
      <c r="O2" s="29"/>
      <c r="P2" s="29"/>
      <c r="Q2" s="29"/>
      <c r="R2" s="29"/>
      <c r="S2" s="29"/>
      <c r="T2" s="29"/>
      <c r="U2" s="29"/>
      <c r="V2" s="29"/>
    </row>
    <row r="3" spans="1:22" ht="15" customHeight="1" x14ac:dyDescent="0.2"/>
    <row r="4" spans="1:22" ht="20.100000000000001" customHeight="1" x14ac:dyDescent="0.3">
      <c r="A4" s="7" t="s">
        <v>429</v>
      </c>
      <c r="B4" s="29"/>
      <c r="C4" s="29"/>
      <c r="D4" s="29"/>
      <c r="E4" s="29"/>
      <c r="F4" s="29"/>
      <c r="G4" s="29"/>
      <c r="H4" s="29"/>
      <c r="I4" s="29"/>
      <c r="J4" s="29"/>
      <c r="K4" s="29"/>
      <c r="L4" s="126"/>
      <c r="M4" s="29"/>
      <c r="N4" s="29"/>
      <c r="O4" s="29"/>
      <c r="P4" s="29"/>
      <c r="Q4" s="29"/>
      <c r="R4" s="29"/>
      <c r="S4" s="29"/>
      <c r="T4" s="29"/>
      <c r="U4" s="29"/>
      <c r="V4" s="29"/>
    </row>
    <row r="5" spans="1:22" ht="15" customHeight="1" thickBot="1" x14ac:dyDescent="0.35">
      <c r="A5" s="7"/>
      <c r="B5" s="29"/>
      <c r="C5" s="29"/>
      <c r="D5" s="29"/>
      <c r="E5" s="29"/>
      <c r="F5" s="29"/>
      <c r="G5" s="29"/>
      <c r="H5" s="29"/>
      <c r="I5" s="29"/>
      <c r="J5" s="29"/>
      <c r="K5" s="29"/>
      <c r="L5" s="29"/>
      <c r="M5" s="126" t="s">
        <v>0</v>
      </c>
      <c r="N5" s="29"/>
      <c r="O5" s="29"/>
      <c r="P5" s="29"/>
      <c r="Q5" s="29"/>
      <c r="R5" s="29"/>
      <c r="S5" s="29"/>
      <c r="T5" s="29"/>
      <c r="U5" s="29"/>
      <c r="V5" s="29"/>
    </row>
    <row r="6" spans="1:22" ht="15.75" customHeight="1" x14ac:dyDescent="0.2">
      <c r="A6" s="1305" t="s">
        <v>88</v>
      </c>
      <c r="B6" s="1315" t="s">
        <v>103</v>
      </c>
      <c r="C6" s="1198" t="s">
        <v>365</v>
      </c>
      <c r="D6" s="1199"/>
      <c r="E6" s="1198" t="s">
        <v>440</v>
      </c>
      <c r="F6" s="1202"/>
      <c r="G6" s="1199"/>
      <c r="H6" s="1307" t="s">
        <v>507</v>
      </c>
      <c r="I6" s="1308"/>
      <c r="J6" s="1308"/>
      <c r="K6" s="1309"/>
      <c r="L6" s="1310" t="s">
        <v>509</v>
      </c>
      <c r="M6" s="1312" t="s">
        <v>510</v>
      </c>
      <c r="N6" s="62"/>
      <c r="O6" s="62"/>
      <c r="P6" s="62"/>
      <c r="Q6" s="62"/>
      <c r="R6" s="62"/>
      <c r="S6" s="62"/>
      <c r="T6" s="62"/>
      <c r="U6" s="62"/>
      <c r="V6" s="62"/>
    </row>
    <row r="7" spans="1:22" ht="27" customHeight="1" thickBot="1" x14ac:dyDescent="0.25">
      <c r="A7" s="1306"/>
      <c r="B7" s="1317"/>
      <c r="C7" s="177" t="s">
        <v>108</v>
      </c>
      <c r="D7" s="178" t="s">
        <v>126</v>
      </c>
      <c r="E7" s="264" t="s">
        <v>109</v>
      </c>
      <c r="F7" s="265" t="s">
        <v>589</v>
      </c>
      <c r="G7" s="266" t="s">
        <v>591</v>
      </c>
      <c r="H7" s="824" t="s">
        <v>124</v>
      </c>
      <c r="I7" s="825" t="s">
        <v>125</v>
      </c>
      <c r="J7" s="826" t="s">
        <v>314</v>
      </c>
      <c r="K7" s="821" t="s">
        <v>85</v>
      </c>
      <c r="L7" s="1311"/>
      <c r="M7" s="1313"/>
      <c r="N7" s="62"/>
      <c r="O7" s="62"/>
      <c r="P7" s="62"/>
      <c r="Q7" s="62"/>
      <c r="R7" s="62"/>
      <c r="S7" s="62"/>
      <c r="T7" s="62"/>
      <c r="U7" s="62"/>
      <c r="V7" s="62"/>
    </row>
    <row r="8" spans="1:22" ht="20.100000000000001" customHeight="1" thickBot="1" x14ac:dyDescent="0.3">
      <c r="A8" s="9"/>
      <c r="B8" s="127" t="s">
        <v>104</v>
      </c>
      <c r="C8" s="128"/>
      <c r="D8" s="129"/>
      <c r="E8" s="128"/>
      <c r="F8" s="13"/>
      <c r="G8" s="13"/>
      <c r="H8" s="14"/>
      <c r="I8" s="14"/>
      <c r="J8" s="14"/>
      <c r="K8" s="15"/>
      <c r="L8" s="16"/>
      <c r="M8" s="16"/>
      <c r="N8" s="9"/>
      <c r="O8" s="9"/>
      <c r="P8" s="9"/>
      <c r="Q8" s="9"/>
      <c r="R8" s="9"/>
      <c r="S8" s="9"/>
      <c r="T8" s="9"/>
      <c r="U8" s="9"/>
      <c r="V8" s="9"/>
    </row>
    <row r="9" spans="1:22" s="19" customFormat="1" ht="30.75" customHeight="1" thickBot="1" x14ac:dyDescent="0.3">
      <c r="A9" s="491">
        <v>6115</v>
      </c>
      <c r="B9" s="1189" t="s">
        <v>407</v>
      </c>
      <c r="C9" s="436">
        <v>50</v>
      </c>
      <c r="D9" s="492">
        <v>0</v>
      </c>
      <c r="E9" s="436">
        <v>100</v>
      </c>
      <c r="F9" s="563">
        <v>47.02</v>
      </c>
      <c r="G9" s="565">
        <v>0</v>
      </c>
      <c r="H9" s="472">
        <v>85</v>
      </c>
      <c r="I9" s="1060">
        <v>10</v>
      </c>
      <c r="J9" s="1021">
        <v>5</v>
      </c>
      <c r="K9" s="961">
        <f t="shared" ref="K9" si="0">SUM(H9:J9)</f>
        <v>100</v>
      </c>
      <c r="L9" s="441">
        <f>+K9/E9*100</f>
        <v>100</v>
      </c>
      <c r="M9" s="442">
        <f t="shared" ref="M9" si="1">K9/F9*100</f>
        <v>212.67545725223309</v>
      </c>
      <c r="N9" s="1163"/>
      <c r="O9" s="1163"/>
      <c r="P9" s="1163"/>
      <c r="Q9" s="1163"/>
      <c r="R9" s="1163"/>
      <c r="S9" s="1163"/>
      <c r="T9" s="1163"/>
      <c r="U9" s="1163"/>
      <c r="V9" s="1163"/>
    </row>
    <row r="10" spans="1:22" ht="20.100000000000001" customHeight="1" thickBot="1" x14ac:dyDescent="0.3">
      <c r="A10" s="190"/>
      <c r="B10" s="201" t="s">
        <v>85</v>
      </c>
      <c r="C10" s="187">
        <f t="shared" ref="C10:K10" si="2">SUM(C9:C9)</f>
        <v>50</v>
      </c>
      <c r="D10" s="202">
        <f t="shared" si="2"/>
        <v>0</v>
      </c>
      <c r="E10" s="187">
        <f t="shared" si="2"/>
        <v>100</v>
      </c>
      <c r="F10" s="203">
        <f t="shared" si="2"/>
        <v>47.02</v>
      </c>
      <c r="G10" s="203">
        <f t="shared" si="2"/>
        <v>0</v>
      </c>
      <c r="H10" s="187">
        <f t="shared" si="2"/>
        <v>85</v>
      </c>
      <c r="I10" s="1051">
        <f t="shared" si="2"/>
        <v>10</v>
      </c>
      <c r="J10" s="1052">
        <f t="shared" si="2"/>
        <v>5</v>
      </c>
      <c r="K10" s="1053">
        <f t="shared" si="2"/>
        <v>100</v>
      </c>
      <c r="L10" s="184">
        <f>+K10/E10*100</f>
        <v>100</v>
      </c>
      <c r="M10" s="185">
        <f>K10/F10*100</f>
        <v>212.67545725223309</v>
      </c>
      <c r="N10" s="18"/>
      <c r="O10" s="19"/>
      <c r="P10" s="19"/>
      <c r="Q10" s="19"/>
      <c r="R10" s="19"/>
      <c r="S10" s="19"/>
      <c r="T10" s="19"/>
      <c r="U10" s="19"/>
      <c r="V10" s="19"/>
    </row>
    <row r="12" spans="1:22" x14ac:dyDescent="0.2">
      <c r="C12" s="3"/>
      <c r="E12" s="3"/>
      <c r="H12" s="3"/>
      <c r="I12" s="3"/>
      <c r="J12" s="3"/>
      <c r="K12" s="3"/>
    </row>
    <row r="13" spans="1:22" x14ac:dyDescent="0.2">
      <c r="C13" s="3"/>
      <c r="E13" s="3"/>
      <c r="H13" s="3"/>
      <c r="I13" s="3"/>
      <c r="J13" s="3"/>
      <c r="K13" s="3"/>
    </row>
  </sheetData>
  <sortState xmlns:xlrd2="http://schemas.microsoft.com/office/spreadsheetml/2017/richdata2" ref="A9:D9">
    <sortCondition ref="A9"/>
  </sortState>
  <mergeCells count="8">
    <mergeCell ref="A2:M2"/>
    <mergeCell ref="A6:A7"/>
    <mergeCell ref="B6:B7"/>
    <mergeCell ref="C6:D6"/>
    <mergeCell ref="E6:G6"/>
    <mergeCell ref="H6:K6"/>
    <mergeCell ref="L6:L7"/>
    <mergeCell ref="M6:M7"/>
  </mergeCells>
  <pageMargins left="0.70866141732283472" right="0.70866141732283472" top="0.78740157480314965" bottom="0.78740157480314965" header="0.31496062992125984" footer="0.31496062992125984"/>
  <pageSetup paperSize="9" scale="6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P126"/>
  <sheetViews>
    <sheetView workbookViewId="0"/>
  </sheetViews>
  <sheetFormatPr defaultRowHeight="12.75" x14ac:dyDescent="0.2"/>
  <cols>
    <col min="1" max="1" width="7.7109375" style="67" customWidth="1"/>
    <col min="2" max="2" width="6.7109375" style="1" customWidth="1"/>
    <col min="3" max="3" width="40.7109375" style="1" customWidth="1"/>
    <col min="4" max="4" width="14.7109375" style="2" customWidth="1"/>
    <col min="5" max="5" width="14.7109375" style="3" customWidth="1"/>
    <col min="6" max="6" width="14.7109375" style="2" customWidth="1"/>
    <col min="7" max="7" width="16.28515625" style="3" customWidth="1"/>
    <col min="8" max="9" width="14.7109375" style="3" customWidth="1"/>
    <col min="10" max="10" width="15.42578125" style="3" customWidth="1"/>
    <col min="11" max="11" width="14.7109375" style="3" customWidth="1"/>
    <col min="12" max="12" width="14.7109375" style="787" customWidth="1"/>
    <col min="13" max="13" width="10.28515625" style="5" customWidth="1"/>
    <col min="14" max="14" width="10" style="5" customWidth="1"/>
    <col min="15" max="15" width="10.28515625" style="1" customWidth="1"/>
    <col min="16" max="255" width="9.140625" style="1"/>
    <col min="256" max="256" width="6.7109375" style="1" customWidth="1"/>
    <col min="257" max="257" width="41.5703125" style="1" customWidth="1"/>
    <col min="258" max="265" width="14.7109375" style="1" customWidth="1"/>
    <col min="266" max="266" width="16.7109375" style="1" customWidth="1"/>
    <col min="267" max="268" width="7.42578125" style="1" customWidth="1"/>
    <col min="269" max="511" width="9.140625" style="1"/>
    <col min="512" max="512" width="6.7109375" style="1" customWidth="1"/>
    <col min="513" max="513" width="41.5703125" style="1" customWidth="1"/>
    <col min="514" max="521" width="14.7109375" style="1" customWidth="1"/>
    <col min="522" max="522" width="16.7109375" style="1" customWidth="1"/>
    <col min="523" max="524" width="7.42578125" style="1" customWidth="1"/>
    <col min="525" max="767" width="9.140625" style="1"/>
    <col min="768" max="768" width="6.7109375" style="1" customWidth="1"/>
    <col min="769" max="769" width="41.5703125" style="1" customWidth="1"/>
    <col min="770" max="777" width="14.7109375" style="1" customWidth="1"/>
    <col min="778" max="778" width="16.7109375" style="1" customWidth="1"/>
    <col min="779" max="780" width="7.42578125" style="1" customWidth="1"/>
    <col min="781" max="1023" width="9.140625" style="1"/>
    <col min="1024" max="1024" width="6.7109375" style="1" customWidth="1"/>
    <col min="1025" max="1025" width="41.5703125" style="1" customWidth="1"/>
    <col min="1026" max="1033" width="14.7109375" style="1" customWidth="1"/>
    <col min="1034" max="1034" width="16.7109375" style="1" customWidth="1"/>
    <col min="1035" max="1036" width="7.42578125" style="1" customWidth="1"/>
    <col min="1037" max="1279" width="9.140625" style="1"/>
    <col min="1280" max="1280" width="6.7109375" style="1" customWidth="1"/>
    <col min="1281" max="1281" width="41.5703125" style="1" customWidth="1"/>
    <col min="1282" max="1289" width="14.7109375" style="1" customWidth="1"/>
    <col min="1290" max="1290" width="16.7109375" style="1" customWidth="1"/>
    <col min="1291" max="1292" width="7.42578125" style="1" customWidth="1"/>
    <col min="1293" max="1535" width="9.140625" style="1"/>
    <col min="1536" max="1536" width="6.7109375" style="1" customWidth="1"/>
    <col min="1537" max="1537" width="41.5703125" style="1" customWidth="1"/>
    <col min="1538" max="1545" width="14.7109375" style="1" customWidth="1"/>
    <col min="1546" max="1546" width="16.7109375" style="1" customWidth="1"/>
    <col min="1547" max="1548" width="7.42578125" style="1" customWidth="1"/>
    <col min="1549" max="1791" width="9.140625" style="1"/>
    <col min="1792" max="1792" width="6.7109375" style="1" customWidth="1"/>
    <col min="1793" max="1793" width="41.5703125" style="1" customWidth="1"/>
    <col min="1794" max="1801" width="14.7109375" style="1" customWidth="1"/>
    <col min="1802" max="1802" width="16.7109375" style="1" customWidth="1"/>
    <col min="1803" max="1804" width="7.42578125" style="1" customWidth="1"/>
    <col min="1805" max="2047" width="9.140625" style="1"/>
    <col min="2048" max="2048" width="6.7109375" style="1" customWidth="1"/>
    <col min="2049" max="2049" width="41.5703125" style="1" customWidth="1"/>
    <col min="2050" max="2057" width="14.7109375" style="1" customWidth="1"/>
    <col min="2058" max="2058" width="16.7109375" style="1" customWidth="1"/>
    <col min="2059" max="2060" width="7.42578125" style="1" customWidth="1"/>
    <col min="2061" max="2303" width="9.140625" style="1"/>
    <col min="2304" max="2304" width="6.7109375" style="1" customWidth="1"/>
    <col min="2305" max="2305" width="41.5703125" style="1" customWidth="1"/>
    <col min="2306" max="2313" width="14.7109375" style="1" customWidth="1"/>
    <col min="2314" max="2314" width="16.7109375" style="1" customWidth="1"/>
    <col min="2315" max="2316" width="7.42578125" style="1" customWidth="1"/>
    <col min="2317" max="2559" width="9.140625" style="1"/>
    <col min="2560" max="2560" width="6.7109375" style="1" customWidth="1"/>
    <col min="2561" max="2561" width="41.5703125" style="1" customWidth="1"/>
    <col min="2562" max="2569" width="14.7109375" style="1" customWidth="1"/>
    <col min="2570" max="2570" width="16.7109375" style="1" customWidth="1"/>
    <col min="2571" max="2572" width="7.42578125" style="1" customWidth="1"/>
    <col min="2573" max="2815" width="9.140625" style="1"/>
    <col min="2816" max="2816" width="6.7109375" style="1" customWidth="1"/>
    <col min="2817" max="2817" width="41.5703125" style="1" customWidth="1"/>
    <col min="2818" max="2825" width="14.7109375" style="1" customWidth="1"/>
    <col min="2826" max="2826" width="16.7109375" style="1" customWidth="1"/>
    <col min="2827" max="2828" width="7.42578125" style="1" customWidth="1"/>
    <col min="2829" max="3071" width="9.140625" style="1"/>
    <col min="3072" max="3072" width="6.7109375" style="1" customWidth="1"/>
    <col min="3073" max="3073" width="41.5703125" style="1" customWidth="1"/>
    <col min="3074" max="3081" width="14.7109375" style="1" customWidth="1"/>
    <col min="3082" max="3082" width="16.7109375" style="1" customWidth="1"/>
    <col min="3083" max="3084" width="7.42578125" style="1" customWidth="1"/>
    <col min="3085" max="3327" width="9.140625" style="1"/>
    <col min="3328" max="3328" width="6.7109375" style="1" customWidth="1"/>
    <col min="3329" max="3329" width="41.5703125" style="1" customWidth="1"/>
    <col min="3330" max="3337" width="14.7109375" style="1" customWidth="1"/>
    <col min="3338" max="3338" width="16.7109375" style="1" customWidth="1"/>
    <col min="3339" max="3340" width="7.42578125" style="1" customWidth="1"/>
    <col min="3341" max="3583" width="9.140625" style="1"/>
    <col min="3584" max="3584" width="6.7109375" style="1" customWidth="1"/>
    <col min="3585" max="3585" width="41.5703125" style="1" customWidth="1"/>
    <col min="3586" max="3593" width="14.7109375" style="1" customWidth="1"/>
    <col min="3594" max="3594" width="16.7109375" style="1" customWidth="1"/>
    <col min="3595" max="3596" width="7.42578125" style="1" customWidth="1"/>
    <col min="3597" max="3839" width="9.140625" style="1"/>
    <col min="3840" max="3840" width="6.7109375" style="1" customWidth="1"/>
    <col min="3841" max="3841" width="41.5703125" style="1" customWidth="1"/>
    <col min="3842" max="3849" width="14.7109375" style="1" customWidth="1"/>
    <col min="3850" max="3850" width="16.7109375" style="1" customWidth="1"/>
    <col min="3851" max="3852" width="7.42578125" style="1" customWidth="1"/>
    <col min="3853" max="4095" width="9.140625" style="1"/>
    <col min="4096" max="4096" width="6.7109375" style="1" customWidth="1"/>
    <col min="4097" max="4097" width="41.5703125" style="1" customWidth="1"/>
    <col min="4098" max="4105" width="14.7109375" style="1" customWidth="1"/>
    <col min="4106" max="4106" width="16.7109375" style="1" customWidth="1"/>
    <col min="4107" max="4108" width="7.42578125" style="1" customWidth="1"/>
    <col min="4109" max="4351" width="9.140625" style="1"/>
    <col min="4352" max="4352" width="6.7109375" style="1" customWidth="1"/>
    <col min="4353" max="4353" width="41.5703125" style="1" customWidth="1"/>
    <col min="4354" max="4361" width="14.7109375" style="1" customWidth="1"/>
    <col min="4362" max="4362" width="16.7109375" style="1" customWidth="1"/>
    <col min="4363" max="4364" width="7.42578125" style="1" customWidth="1"/>
    <col min="4365" max="4607" width="9.140625" style="1"/>
    <col min="4608" max="4608" width="6.7109375" style="1" customWidth="1"/>
    <col min="4609" max="4609" width="41.5703125" style="1" customWidth="1"/>
    <col min="4610" max="4617" width="14.7109375" style="1" customWidth="1"/>
    <col min="4618" max="4618" width="16.7109375" style="1" customWidth="1"/>
    <col min="4619" max="4620" width="7.42578125" style="1" customWidth="1"/>
    <col min="4621" max="4863" width="9.140625" style="1"/>
    <col min="4864" max="4864" width="6.7109375" style="1" customWidth="1"/>
    <col min="4865" max="4865" width="41.5703125" style="1" customWidth="1"/>
    <col min="4866" max="4873" width="14.7109375" style="1" customWidth="1"/>
    <col min="4874" max="4874" width="16.7109375" style="1" customWidth="1"/>
    <col min="4875" max="4876" width="7.42578125" style="1" customWidth="1"/>
    <col min="4877" max="5119" width="9.140625" style="1"/>
    <col min="5120" max="5120" width="6.7109375" style="1" customWidth="1"/>
    <col min="5121" max="5121" width="41.5703125" style="1" customWidth="1"/>
    <col min="5122" max="5129" width="14.7109375" style="1" customWidth="1"/>
    <col min="5130" max="5130" width="16.7109375" style="1" customWidth="1"/>
    <col min="5131" max="5132" width="7.42578125" style="1" customWidth="1"/>
    <col min="5133" max="5375" width="9.140625" style="1"/>
    <col min="5376" max="5376" width="6.7109375" style="1" customWidth="1"/>
    <col min="5377" max="5377" width="41.5703125" style="1" customWidth="1"/>
    <col min="5378" max="5385" width="14.7109375" style="1" customWidth="1"/>
    <col min="5386" max="5386" width="16.7109375" style="1" customWidth="1"/>
    <col min="5387" max="5388" width="7.42578125" style="1" customWidth="1"/>
    <col min="5389" max="5631" width="9.140625" style="1"/>
    <col min="5632" max="5632" width="6.7109375" style="1" customWidth="1"/>
    <col min="5633" max="5633" width="41.5703125" style="1" customWidth="1"/>
    <col min="5634" max="5641" width="14.7109375" style="1" customWidth="1"/>
    <col min="5642" max="5642" width="16.7109375" style="1" customWidth="1"/>
    <col min="5643" max="5644" width="7.42578125" style="1" customWidth="1"/>
    <col min="5645" max="5887" width="9.140625" style="1"/>
    <col min="5888" max="5888" width="6.7109375" style="1" customWidth="1"/>
    <col min="5889" max="5889" width="41.5703125" style="1" customWidth="1"/>
    <col min="5890" max="5897" width="14.7109375" style="1" customWidth="1"/>
    <col min="5898" max="5898" width="16.7109375" style="1" customWidth="1"/>
    <col min="5899" max="5900" width="7.42578125" style="1" customWidth="1"/>
    <col min="5901" max="6143" width="9.140625" style="1"/>
    <col min="6144" max="6144" width="6.7109375" style="1" customWidth="1"/>
    <col min="6145" max="6145" width="41.5703125" style="1" customWidth="1"/>
    <col min="6146" max="6153" width="14.7109375" style="1" customWidth="1"/>
    <col min="6154" max="6154" width="16.7109375" style="1" customWidth="1"/>
    <col min="6155" max="6156" width="7.42578125" style="1" customWidth="1"/>
    <col min="6157" max="6399" width="9.140625" style="1"/>
    <col min="6400" max="6400" width="6.7109375" style="1" customWidth="1"/>
    <col min="6401" max="6401" width="41.5703125" style="1" customWidth="1"/>
    <col min="6402" max="6409" width="14.7109375" style="1" customWidth="1"/>
    <col min="6410" max="6410" width="16.7109375" style="1" customWidth="1"/>
    <col min="6411" max="6412" width="7.42578125" style="1" customWidth="1"/>
    <col min="6413" max="6655" width="9.140625" style="1"/>
    <col min="6656" max="6656" width="6.7109375" style="1" customWidth="1"/>
    <col min="6657" max="6657" width="41.5703125" style="1" customWidth="1"/>
    <col min="6658" max="6665" width="14.7109375" style="1" customWidth="1"/>
    <col min="6666" max="6666" width="16.7109375" style="1" customWidth="1"/>
    <col min="6667" max="6668" width="7.42578125" style="1" customWidth="1"/>
    <col min="6669" max="6911" width="9.140625" style="1"/>
    <col min="6912" max="6912" width="6.7109375" style="1" customWidth="1"/>
    <col min="6913" max="6913" width="41.5703125" style="1" customWidth="1"/>
    <col min="6914" max="6921" width="14.7109375" style="1" customWidth="1"/>
    <col min="6922" max="6922" width="16.7109375" style="1" customWidth="1"/>
    <col min="6923" max="6924" width="7.42578125" style="1" customWidth="1"/>
    <col min="6925" max="7167" width="9.140625" style="1"/>
    <col min="7168" max="7168" width="6.7109375" style="1" customWidth="1"/>
    <col min="7169" max="7169" width="41.5703125" style="1" customWidth="1"/>
    <col min="7170" max="7177" width="14.7109375" style="1" customWidth="1"/>
    <col min="7178" max="7178" width="16.7109375" style="1" customWidth="1"/>
    <col min="7179" max="7180" width="7.42578125" style="1" customWidth="1"/>
    <col min="7181" max="7423" width="9.140625" style="1"/>
    <col min="7424" max="7424" width="6.7109375" style="1" customWidth="1"/>
    <col min="7425" max="7425" width="41.5703125" style="1" customWidth="1"/>
    <col min="7426" max="7433" width="14.7109375" style="1" customWidth="1"/>
    <col min="7434" max="7434" width="16.7109375" style="1" customWidth="1"/>
    <col min="7435" max="7436" width="7.42578125" style="1" customWidth="1"/>
    <col min="7437" max="7679" width="9.140625" style="1"/>
    <col min="7680" max="7680" width="6.7109375" style="1" customWidth="1"/>
    <col min="7681" max="7681" width="41.5703125" style="1" customWidth="1"/>
    <col min="7682" max="7689" width="14.7109375" style="1" customWidth="1"/>
    <col min="7690" max="7690" width="16.7109375" style="1" customWidth="1"/>
    <col min="7691" max="7692" width="7.42578125" style="1" customWidth="1"/>
    <col min="7693" max="7935" width="9.140625" style="1"/>
    <col min="7936" max="7936" width="6.7109375" style="1" customWidth="1"/>
    <col min="7937" max="7937" width="41.5703125" style="1" customWidth="1"/>
    <col min="7938" max="7945" width="14.7109375" style="1" customWidth="1"/>
    <col min="7946" max="7946" width="16.7109375" style="1" customWidth="1"/>
    <col min="7947" max="7948" width="7.42578125" style="1" customWidth="1"/>
    <col min="7949" max="8191" width="9.140625" style="1"/>
    <col min="8192" max="8192" width="6.7109375" style="1" customWidth="1"/>
    <col min="8193" max="8193" width="41.5703125" style="1" customWidth="1"/>
    <col min="8194" max="8201" width="14.7109375" style="1" customWidth="1"/>
    <col min="8202" max="8202" width="16.7109375" style="1" customWidth="1"/>
    <col min="8203" max="8204" width="7.42578125" style="1" customWidth="1"/>
    <col min="8205" max="8447" width="9.140625" style="1"/>
    <col min="8448" max="8448" width="6.7109375" style="1" customWidth="1"/>
    <col min="8449" max="8449" width="41.5703125" style="1" customWidth="1"/>
    <col min="8450" max="8457" width="14.7109375" style="1" customWidth="1"/>
    <col min="8458" max="8458" width="16.7109375" style="1" customWidth="1"/>
    <col min="8459" max="8460" width="7.42578125" style="1" customWidth="1"/>
    <col min="8461" max="8703" width="9.140625" style="1"/>
    <col min="8704" max="8704" width="6.7109375" style="1" customWidth="1"/>
    <col min="8705" max="8705" width="41.5703125" style="1" customWidth="1"/>
    <col min="8706" max="8713" width="14.7109375" style="1" customWidth="1"/>
    <col min="8714" max="8714" width="16.7109375" style="1" customWidth="1"/>
    <col min="8715" max="8716" width="7.42578125" style="1" customWidth="1"/>
    <col min="8717" max="8959" width="9.140625" style="1"/>
    <col min="8960" max="8960" width="6.7109375" style="1" customWidth="1"/>
    <col min="8961" max="8961" width="41.5703125" style="1" customWidth="1"/>
    <col min="8962" max="8969" width="14.7109375" style="1" customWidth="1"/>
    <col min="8970" max="8970" width="16.7109375" style="1" customWidth="1"/>
    <col min="8971" max="8972" width="7.42578125" style="1" customWidth="1"/>
    <col min="8973" max="9215" width="9.140625" style="1"/>
    <col min="9216" max="9216" width="6.7109375" style="1" customWidth="1"/>
    <col min="9217" max="9217" width="41.5703125" style="1" customWidth="1"/>
    <col min="9218" max="9225" width="14.7109375" style="1" customWidth="1"/>
    <col min="9226" max="9226" width="16.7109375" style="1" customWidth="1"/>
    <col min="9227" max="9228" width="7.42578125" style="1" customWidth="1"/>
    <col min="9229" max="9471" width="9.140625" style="1"/>
    <col min="9472" max="9472" width="6.7109375" style="1" customWidth="1"/>
    <col min="9473" max="9473" width="41.5703125" style="1" customWidth="1"/>
    <col min="9474" max="9481" width="14.7109375" style="1" customWidth="1"/>
    <col min="9482" max="9482" width="16.7109375" style="1" customWidth="1"/>
    <col min="9483" max="9484" width="7.42578125" style="1" customWidth="1"/>
    <col min="9485" max="9727" width="9.140625" style="1"/>
    <col min="9728" max="9728" width="6.7109375" style="1" customWidth="1"/>
    <col min="9729" max="9729" width="41.5703125" style="1" customWidth="1"/>
    <col min="9730" max="9737" width="14.7109375" style="1" customWidth="1"/>
    <col min="9738" max="9738" width="16.7109375" style="1" customWidth="1"/>
    <col min="9739" max="9740" width="7.42578125" style="1" customWidth="1"/>
    <col min="9741" max="9983" width="9.140625" style="1"/>
    <col min="9984" max="9984" width="6.7109375" style="1" customWidth="1"/>
    <col min="9985" max="9985" width="41.5703125" style="1" customWidth="1"/>
    <col min="9986" max="9993" width="14.7109375" style="1" customWidth="1"/>
    <col min="9994" max="9994" width="16.7109375" style="1" customWidth="1"/>
    <col min="9995" max="9996" width="7.42578125" style="1" customWidth="1"/>
    <col min="9997" max="10239" width="9.140625" style="1"/>
    <col min="10240" max="10240" width="6.7109375" style="1" customWidth="1"/>
    <col min="10241" max="10241" width="41.5703125" style="1" customWidth="1"/>
    <col min="10242" max="10249" width="14.7109375" style="1" customWidth="1"/>
    <col min="10250" max="10250" width="16.7109375" style="1" customWidth="1"/>
    <col min="10251" max="10252" width="7.42578125" style="1" customWidth="1"/>
    <col min="10253" max="10495" width="9.140625" style="1"/>
    <col min="10496" max="10496" width="6.7109375" style="1" customWidth="1"/>
    <col min="10497" max="10497" width="41.5703125" style="1" customWidth="1"/>
    <col min="10498" max="10505" width="14.7109375" style="1" customWidth="1"/>
    <col min="10506" max="10506" width="16.7109375" style="1" customWidth="1"/>
    <col min="10507" max="10508" width="7.42578125" style="1" customWidth="1"/>
    <col min="10509" max="10751" width="9.140625" style="1"/>
    <col min="10752" max="10752" width="6.7109375" style="1" customWidth="1"/>
    <col min="10753" max="10753" width="41.5703125" style="1" customWidth="1"/>
    <col min="10754" max="10761" width="14.7109375" style="1" customWidth="1"/>
    <col min="10762" max="10762" width="16.7109375" style="1" customWidth="1"/>
    <col min="10763" max="10764" width="7.42578125" style="1" customWidth="1"/>
    <col min="10765" max="11007" width="9.140625" style="1"/>
    <col min="11008" max="11008" width="6.7109375" style="1" customWidth="1"/>
    <col min="11009" max="11009" width="41.5703125" style="1" customWidth="1"/>
    <col min="11010" max="11017" width="14.7109375" style="1" customWidth="1"/>
    <col min="11018" max="11018" width="16.7109375" style="1" customWidth="1"/>
    <col min="11019" max="11020" width="7.42578125" style="1" customWidth="1"/>
    <col min="11021" max="11263" width="9.140625" style="1"/>
    <col min="11264" max="11264" width="6.7109375" style="1" customWidth="1"/>
    <col min="11265" max="11265" width="41.5703125" style="1" customWidth="1"/>
    <col min="11266" max="11273" width="14.7109375" style="1" customWidth="1"/>
    <col min="11274" max="11274" width="16.7109375" style="1" customWidth="1"/>
    <col min="11275" max="11276" width="7.42578125" style="1" customWidth="1"/>
    <col min="11277" max="11519" width="9.140625" style="1"/>
    <col min="11520" max="11520" width="6.7109375" style="1" customWidth="1"/>
    <col min="11521" max="11521" width="41.5703125" style="1" customWidth="1"/>
    <col min="11522" max="11529" width="14.7109375" style="1" customWidth="1"/>
    <col min="11530" max="11530" width="16.7109375" style="1" customWidth="1"/>
    <col min="11531" max="11532" width="7.42578125" style="1" customWidth="1"/>
    <col min="11533" max="11775" width="9.140625" style="1"/>
    <col min="11776" max="11776" width="6.7109375" style="1" customWidth="1"/>
    <col min="11777" max="11777" width="41.5703125" style="1" customWidth="1"/>
    <col min="11778" max="11785" width="14.7109375" style="1" customWidth="1"/>
    <col min="11786" max="11786" width="16.7109375" style="1" customWidth="1"/>
    <col min="11787" max="11788" width="7.42578125" style="1" customWidth="1"/>
    <col min="11789" max="12031" width="9.140625" style="1"/>
    <col min="12032" max="12032" width="6.7109375" style="1" customWidth="1"/>
    <col min="12033" max="12033" width="41.5703125" style="1" customWidth="1"/>
    <col min="12034" max="12041" width="14.7109375" style="1" customWidth="1"/>
    <col min="12042" max="12042" width="16.7109375" style="1" customWidth="1"/>
    <col min="12043" max="12044" width="7.42578125" style="1" customWidth="1"/>
    <col min="12045" max="12287" width="9.140625" style="1"/>
    <col min="12288" max="12288" width="6.7109375" style="1" customWidth="1"/>
    <col min="12289" max="12289" width="41.5703125" style="1" customWidth="1"/>
    <col min="12290" max="12297" width="14.7109375" style="1" customWidth="1"/>
    <col min="12298" max="12298" width="16.7109375" style="1" customWidth="1"/>
    <col min="12299" max="12300" width="7.42578125" style="1" customWidth="1"/>
    <col min="12301" max="12543" width="9.140625" style="1"/>
    <col min="12544" max="12544" width="6.7109375" style="1" customWidth="1"/>
    <col min="12545" max="12545" width="41.5703125" style="1" customWidth="1"/>
    <col min="12546" max="12553" width="14.7109375" style="1" customWidth="1"/>
    <col min="12554" max="12554" width="16.7109375" style="1" customWidth="1"/>
    <col min="12555" max="12556" width="7.42578125" style="1" customWidth="1"/>
    <col min="12557" max="12799" width="9.140625" style="1"/>
    <col min="12800" max="12800" width="6.7109375" style="1" customWidth="1"/>
    <col min="12801" max="12801" width="41.5703125" style="1" customWidth="1"/>
    <col min="12802" max="12809" width="14.7109375" style="1" customWidth="1"/>
    <col min="12810" max="12810" width="16.7109375" style="1" customWidth="1"/>
    <col min="12811" max="12812" width="7.42578125" style="1" customWidth="1"/>
    <col min="12813" max="13055" width="9.140625" style="1"/>
    <col min="13056" max="13056" width="6.7109375" style="1" customWidth="1"/>
    <col min="13057" max="13057" width="41.5703125" style="1" customWidth="1"/>
    <col min="13058" max="13065" width="14.7109375" style="1" customWidth="1"/>
    <col min="13066" max="13066" width="16.7109375" style="1" customWidth="1"/>
    <col min="13067" max="13068" width="7.42578125" style="1" customWidth="1"/>
    <col min="13069" max="13311" width="9.140625" style="1"/>
    <col min="13312" max="13312" width="6.7109375" style="1" customWidth="1"/>
    <col min="13313" max="13313" width="41.5703125" style="1" customWidth="1"/>
    <col min="13314" max="13321" width="14.7109375" style="1" customWidth="1"/>
    <col min="13322" max="13322" width="16.7109375" style="1" customWidth="1"/>
    <col min="13323" max="13324" width="7.42578125" style="1" customWidth="1"/>
    <col min="13325" max="13567" width="9.140625" style="1"/>
    <col min="13568" max="13568" width="6.7109375" style="1" customWidth="1"/>
    <col min="13569" max="13569" width="41.5703125" style="1" customWidth="1"/>
    <col min="13570" max="13577" width="14.7109375" style="1" customWidth="1"/>
    <col min="13578" max="13578" width="16.7109375" style="1" customWidth="1"/>
    <col min="13579" max="13580" width="7.42578125" style="1" customWidth="1"/>
    <col min="13581" max="13823" width="9.140625" style="1"/>
    <col min="13824" max="13824" width="6.7109375" style="1" customWidth="1"/>
    <col min="13825" max="13825" width="41.5703125" style="1" customWidth="1"/>
    <col min="13826" max="13833" width="14.7109375" style="1" customWidth="1"/>
    <col min="13834" max="13834" width="16.7109375" style="1" customWidth="1"/>
    <col min="13835" max="13836" width="7.42578125" style="1" customWidth="1"/>
    <col min="13837" max="14079" width="9.140625" style="1"/>
    <col min="14080" max="14080" width="6.7109375" style="1" customWidth="1"/>
    <col min="14081" max="14081" width="41.5703125" style="1" customWidth="1"/>
    <col min="14082" max="14089" width="14.7109375" style="1" customWidth="1"/>
    <col min="14090" max="14090" width="16.7109375" style="1" customWidth="1"/>
    <col min="14091" max="14092" width="7.42578125" style="1" customWidth="1"/>
    <col min="14093" max="14335" width="9.140625" style="1"/>
    <col min="14336" max="14336" width="6.7109375" style="1" customWidth="1"/>
    <col min="14337" max="14337" width="41.5703125" style="1" customWidth="1"/>
    <col min="14338" max="14345" width="14.7109375" style="1" customWidth="1"/>
    <col min="14346" max="14346" width="16.7109375" style="1" customWidth="1"/>
    <col min="14347" max="14348" width="7.42578125" style="1" customWidth="1"/>
    <col min="14349" max="14591" width="9.140625" style="1"/>
    <col min="14592" max="14592" width="6.7109375" style="1" customWidth="1"/>
    <col min="14593" max="14593" width="41.5703125" style="1" customWidth="1"/>
    <col min="14594" max="14601" width="14.7109375" style="1" customWidth="1"/>
    <col min="14602" max="14602" width="16.7109375" style="1" customWidth="1"/>
    <col min="14603" max="14604" width="7.42578125" style="1" customWidth="1"/>
    <col min="14605" max="14847" width="9.140625" style="1"/>
    <col min="14848" max="14848" width="6.7109375" style="1" customWidth="1"/>
    <col min="14849" max="14849" width="41.5703125" style="1" customWidth="1"/>
    <col min="14850" max="14857" width="14.7109375" style="1" customWidth="1"/>
    <col min="14858" max="14858" width="16.7109375" style="1" customWidth="1"/>
    <col min="14859" max="14860" width="7.42578125" style="1" customWidth="1"/>
    <col min="14861" max="15103" width="9.140625" style="1"/>
    <col min="15104" max="15104" width="6.7109375" style="1" customWidth="1"/>
    <col min="15105" max="15105" width="41.5703125" style="1" customWidth="1"/>
    <col min="15106" max="15113" width="14.7109375" style="1" customWidth="1"/>
    <col min="15114" max="15114" width="16.7109375" style="1" customWidth="1"/>
    <col min="15115" max="15116" width="7.42578125" style="1" customWidth="1"/>
    <col min="15117" max="15359" width="9.140625" style="1"/>
    <col min="15360" max="15360" width="6.7109375" style="1" customWidth="1"/>
    <col min="15361" max="15361" width="41.5703125" style="1" customWidth="1"/>
    <col min="15362" max="15369" width="14.7109375" style="1" customWidth="1"/>
    <col min="15370" max="15370" width="16.7109375" style="1" customWidth="1"/>
    <col min="15371" max="15372" width="7.42578125" style="1" customWidth="1"/>
    <col min="15373" max="15615" width="9.140625" style="1"/>
    <col min="15616" max="15616" width="6.7109375" style="1" customWidth="1"/>
    <col min="15617" max="15617" width="41.5703125" style="1" customWidth="1"/>
    <col min="15618" max="15625" width="14.7109375" style="1" customWidth="1"/>
    <col min="15626" max="15626" width="16.7109375" style="1" customWidth="1"/>
    <col min="15627" max="15628" width="7.42578125" style="1" customWidth="1"/>
    <col min="15629" max="15871" width="9.140625" style="1"/>
    <col min="15872" max="15872" width="6.7109375" style="1" customWidth="1"/>
    <col min="15873" max="15873" width="41.5703125" style="1" customWidth="1"/>
    <col min="15874" max="15881" width="14.7109375" style="1" customWidth="1"/>
    <col min="15882" max="15882" width="16.7109375" style="1" customWidth="1"/>
    <col min="15883" max="15884" width="7.42578125" style="1" customWidth="1"/>
    <col min="15885" max="16127" width="9.140625" style="1"/>
    <col min="16128" max="16128" width="6.7109375" style="1" customWidth="1"/>
    <col min="16129" max="16129" width="41.5703125" style="1" customWidth="1"/>
    <col min="16130" max="16137" width="14.7109375" style="1" customWidth="1"/>
    <col min="16138" max="16138" width="16.7109375" style="1" customWidth="1"/>
    <col min="16139" max="16140" width="7.42578125" style="1" customWidth="1"/>
    <col min="16141" max="16384" width="9.140625" style="1"/>
  </cols>
  <sheetData>
    <row r="1" spans="1:16" ht="15" x14ac:dyDescent="0.25">
      <c r="N1" s="6"/>
    </row>
    <row r="2" spans="1:16" ht="20.100000000000001" customHeight="1" x14ac:dyDescent="0.35">
      <c r="A2" s="1303" t="s">
        <v>508</v>
      </c>
      <c r="B2" s="1196"/>
      <c r="C2" s="1196"/>
      <c r="D2" s="1196"/>
      <c r="E2" s="1196"/>
      <c r="F2" s="1196"/>
      <c r="G2" s="1196"/>
      <c r="H2" s="1196"/>
      <c r="I2" s="1196"/>
      <c r="J2" s="1196"/>
      <c r="K2" s="1196"/>
      <c r="L2" s="1196"/>
      <c r="M2" s="1196"/>
      <c r="N2" s="1304"/>
    </row>
    <row r="3" spans="1:16" ht="15" customHeight="1" x14ac:dyDescent="0.2"/>
    <row r="4" spans="1:16" ht="20.100000000000001" customHeight="1" x14ac:dyDescent="0.25">
      <c r="A4" s="68" t="s">
        <v>163</v>
      </c>
      <c r="M4" s="8"/>
    </row>
    <row r="5" spans="1:16" ht="15" customHeight="1" thickBot="1" x14ac:dyDescent="0.3">
      <c r="A5" s="68"/>
      <c r="N5" s="8" t="s">
        <v>0</v>
      </c>
    </row>
    <row r="6" spans="1:16" s="62" customFormat="1" ht="15.9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16" s="62" customFormat="1" ht="27"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16" s="9" customFormat="1" ht="20.100000000000001" customHeight="1" thickBot="1" x14ac:dyDescent="0.3">
      <c r="A8" s="102"/>
      <c r="B8" s="10" t="s">
        <v>104</v>
      </c>
      <c r="C8" s="10"/>
      <c r="D8" s="11"/>
      <c r="E8" s="12"/>
      <c r="F8" s="11"/>
      <c r="G8" s="13"/>
      <c r="H8" s="13"/>
      <c r="I8" s="13"/>
      <c r="J8" s="13"/>
      <c r="K8" s="13"/>
      <c r="L8" s="268"/>
      <c r="M8" s="16"/>
      <c r="N8" s="16"/>
    </row>
    <row r="9" spans="1:16" s="509" customFormat="1" ht="30" customHeight="1" x14ac:dyDescent="0.2">
      <c r="A9" s="1407">
        <v>4312</v>
      </c>
      <c r="B9" s="1334" t="s">
        <v>164</v>
      </c>
      <c r="C9" s="1406"/>
      <c r="D9" s="874">
        <f>SUM(D10:D13)</f>
        <v>15955</v>
      </c>
      <c r="E9" s="875">
        <f t="shared" ref="E9:K9" si="0">SUM(E10:E13)</f>
        <v>16600.849999999999</v>
      </c>
      <c r="F9" s="874">
        <f t="shared" si="0"/>
        <v>19050</v>
      </c>
      <c r="G9" s="876">
        <f t="shared" si="0"/>
        <v>20206.900000000001</v>
      </c>
      <c r="H9" s="875">
        <f t="shared" si="0"/>
        <v>14083.45</v>
      </c>
      <c r="I9" s="952">
        <f t="shared" si="0"/>
        <v>13861</v>
      </c>
      <c r="J9" s="952">
        <f t="shared" si="0"/>
        <v>1630</v>
      </c>
      <c r="K9" s="1034">
        <f t="shared" si="0"/>
        <v>814</v>
      </c>
      <c r="L9" s="961">
        <f>SUM(I9:K9)</f>
        <v>16305</v>
      </c>
      <c r="M9" s="528">
        <f t="shared" ref="M9:M16" si="1">L9/F9*100</f>
        <v>85.590551181102356</v>
      </c>
      <c r="N9" s="529">
        <f t="shared" ref="N9:N16" si="2">L9/G9*100</f>
        <v>80.690259267873842</v>
      </c>
    </row>
    <row r="10" spans="1:16" ht="15" customHeight="1" x14ac:dyDescent="0.2">
      <c r="A10" s="1332"/>
      <c r="B10" s="1408" t="s">
        <v>96</v>
      </c>
      <c r="C10" s="647" t="s">
        <v>138</v>
      </c>
      <c r="D10" s="421">
        <v>100</v>
      </c>
      <c r="E10" s="420">
        <v>45</v>
      </c>
      <c r="F10" s="421">
        <v>50</v>
      </c>
      <c r="G10" s="425">
        <v>9</v>
      </c>
      <c r="H10" s="420">
        <v>9</v>
      </c>
      <c r="I10" s="1009">
        <v>10</v>
      </c>
      <c r="J10" s="1009">
        <v>1</v>
      </c>
      <c r="K10" s="1010">
        <v>0</v>
      </c>
      <c r="L10" s="1011">
        <f>SUM(I10:K10)</f>
        <v>11</v>
      </c>
      <c r="M10" s="422">
        <f>L10/F10*100</f>
        <v>22</v>
      </c>
      <c r="N10" s="423">
        <f>L10/G10*100</f>
        <v>122.22222222222223</v>
      </c>
      <c r="P10" s="3"/>
    </row>
    <row r="11" spans="1:16" ht="15" customHeight="1" x14ac:dyDescent="0.2">
      <c r="A11" s="1332"/>
      <c r="B11" s="1409"/>
      <c r="C11" s="647" t="s">
        <v>137</v>
      </c>
      <c r="D11" s="421">
        <v>3322</v>
      </c>
      <c r="E11" s="420">
        <v>4870</v>
      </c>
      <c r="F11" s="421">
        <v>5500</v>
      </c>
      <c r="G11" s="425">
        <v>5500</v>
      </c>
      <c r="H11" s="420">
        <v>4259</v>
      </c>
      <c r="I11" s="1035">
        <v>4606</v>
      </c>
      <c r="J11" s="1035">
        <v>542</v>
      </c>
      <c r="K11" s="1036">
        <v>271</v>
      </c>
      <c r="L11" s="1011">
        <f>SUM(I11:K11)</f>
        <v>5419</v>
      </c>
      <c r="M11" s="422">
        <f>L11/F11*100</f>
        <v>98.527272727272731</v>
      </c>
      <c r="N11" s="423">
        <f>L11/G11*100</f>
        <v>98.527272727272731</v>
      </c>
      <c r="P11" s="3"/>
    </row>
    <row r="12" spans="1:16" ht="15" customHeight="1" x14ac:dyDescent="0.2">
      <c r="A12" s="1332"/>
      <c r="B12" s="1409"/>
      <c r="C12" s="638" t="s">
        <v>414</v>
      </c>
      <c r="D12" s="83">
        <v>1023</v>
      </c>
      <c r="E12" s="82">
        <v>254.68</v>
      </c>
      <c r="F12" s="83">
        <v>600</v>
      </c>
      <c r="G12" s="414">
        <v>600</v>
      </c>
      <c r="H12" s="95">
        <v>278.2</v>
      </c>
      <c r="I12" s="83">
        <v>225</v>
      </c>
      <c r="J12" s="1014">
        <v>26</v>
      </c>
      <c r="K12" s="1015">
        <v>13</v>
      </c>
      <c r="L12" s="1011">
        <f t="shared" ref="L12" si="3">SUM(I12:K12)</f>
        <v>264</v>
      </c>
      <c r="M12" s="422">
        <f>L12/F12*100</f>
        <v>44</v>
      </c>
      <c r="N12" s="423">
        <f>L12/G12*100</f>
        <v>44</v>
      </c>
      <c r="P12" s="3"/>
    </row>
    <row r="13" spans="1:16" ht="15" customHeight="1" x14ac:dyDescent="0.2">
      <c r="A13" s="1332"/>
      <c r="B13" s="1409"/>
      <c r="C13" s="568" t="s">
        <v>376</v>
      </c>
      <c r="D13" s="421">
        <v>11510</v>
      </c>
      <c r="E13" s="420">
        <v>11431.17</v>
      </c>
      <c r="F13" s="421">
        <v>12900</v>
      </c>
      <c r="G13" s="425">
        <v>14097.9</v>
      </c>
      <c r="H13" s="420">
        <v>9537.25</v>
      </c>
      <c r="I13" s="1035">
        <v>9020</v>
      </c>
      <c r="J13" s="1035">
        <v>1061</v>
      </c>
      <c r="K13" s="1036">
        <v>530</v>
      </c>
      <c r="L13" s="1011">
        <f>SUM(I13:K13)</f>
        <v>10611</v>
      </c>
      <c r="M13" s="422">
        <f>L13/F13*100</f>
        <v>82.255813953488371</v>
      </c>
      <c r="N13" s="423">
        <f>L13/G13*100</f>
        <v>75.266529057519207</v>
      </c>
      <c r="P13" s="3"/>
    </row>
    <row r="14" spans="1:16" s="509" customFormat="1" ht="28.5" customHeight="1" x14ac:dyDescent="0.2">
      <c r="A14" s="495">
        <v>4339</v>
      </c>
      <c r="B14" s="1336" t="s">
        <v>165</v>
      </c>
      <c r="C14" s="1337"/>
      <c r="D14" s="530">
        <v>400</v>
      </c>
      <c r="E14" s="539">
        <v>131.56</v>
      </c>
      <c r="F14" s="530">
        <v>400</v>
      </c>
      <c r="G14" s="457">
        <v>400</v>
      </c>
      <c r="H14" s="458">
        <v>89.89</v>
      </c>
      <c r="I14" s="953">
        <v>400</v>
      </c>
      <c r="J14" s="953">
        <v>0</v>
      </c>
      <c r="K14" s="1037">
        <v>0</v>
      </c>
      <c r="L14" s="962">
        <f t="shared" ref="L14:L94" si="4">SUM(I14:K14)</f>
        <v>400</v>
      </c>
      <c r="M14" s="534">
        <f t="shared" si="1"/>
        <v>100</v>
      </c>
      <c r="N14" s="535">
        <f t="shared" si="2"/>
        <v>100</v>
      </c>
      <c r="P14" s="3"/>
    </row>
    <row r="15" spans="1:16" s="509" customFormat="1" ht="57.75" customHeight="1" x14ac:dyDescent="0.2">
      <c r="A15" s="495">
        <v>4339</v>
      </c>
      <c r="B15" s="1336" t="s">
        <v>583</v>
      </c>
      <c r="C15" s="1337"/>
      <c r="D15" s="537">
        <v>0</v>
      </c>
      <c r="E15" s="538">
        <v>0</v>
      </c>
      <c r="F15" s="537">
        <v>0</v>
      </c>
      <c r="G15" s="449">
        <v>0</v>
      </c>
      <c r="H15" s="450">
        <v>0</v>
      </c>
      <c r="I15" s="1038">
        <v>5000</v>
      </c>
      <c r="J15" s="1038">
        <v>0</v>
      </c>
      <c r="K15" s="1039">
        <v>0</v>
      </c>
      <c r="L15" s="962">
        <f t="shared" ref="L15" si="5">SUM(I15:K15)</f>
        <v>5000</v>
      </c>
      <c r="M15" s="534" t="s">
        <v>60</v>
      </c>
      <c r="N15" s="535" t="s">
        <v>60</v>
      </c>
      <c r="P15" s="3"/>
    </row>
    <row r="16" spans="1:16" s="509" customFormat="1" ht="30" customHeight="1" x14ac:dyDescent="0.2">
      <c r="A16" s="536">
        <v>4342</v>
      </c>
      <c r="B16" s="1404" t="s">
        <v>409</v>
      </c>
      <c r="C16" s="1405"/>
      <c r="D16" s="537">
        <v>100</v>
      </c>
      <c r="E16" s="538">
        <v>41.74</v>
      </c>
      <c r="F16" s="537">
        <v>100</v>
      </c>
      <c r="G16" s="449">
        <v>100</v>
      </c>
      <c r="H16" s="450">
        <v>1.08</v>
      </c>
      <c r="I16" s="1038">
        <v>100</v>
      </c>
      <c r="J16" s="1038">
        <v>0</v>
      </c>
      <c r="K16" s="1039">
        <v>0</v>
      </c>
      <c r="L16" s="1020">
        <f t="shared" si="4"/>
        <v>100</v>
      </c>
      <c r="M16" s="534">
        <f t="shared" si="1"/>
        <v>100</v>
      </c>
      <c r="N16" s="535">
        <f t="shared" si="2"/>
        <v>100</v>
      </c>
      <c r="P16" s="3"/>
    </row>
    <row r="17" spans="1:16" s="509" customFormat="1" ht="30" customHeight="1" x14ac:dyDescent="0.2">
      <c r="A17" s="1331">
        <v>4344</v>
      </c>
      <c r="B17" s="1336" t="s">
        <v>166</v>
      </c>
      <c r="C17" s="1337"/>
      <c r="D17" s="537">
        <f>SUM(D18:D21)</f>
        <v>214</v>
      </c>
      <c r="E17" s="538">
        <f t="shared" ref="E17:K17" si="6">SUM(E18:E21)</f>
        <v>130</v>
      </c>
      <c r="F17" s="530">
        <f t="shared" si="6"/>
        <v>150</v>
      </c>
      <c r="G17" s="540">
        <f t="shared" si="6"/>
        <v>110</v>
      </c>
      <c r="H17" s="539">
        <f t="shared" si="6"/>
        <v>100</v>
      </c>
      <c r="I17" s="953">
        <f t="shared" si="6"/>
        <v>112</v>
      </c>
      <c r="J17" s="953">
        <f t="shared" si="6"/>
        <v>13</v>
      </c>
      <c r="K17" s="1037">
        <f t="shared" si="6"/>
        <v>6</v>
      </c>
      <c r="L17" s="962">
        <f>SUM(I17:K17)</f>
        <v>131</v>
      </c>
      <c r="M17" s="619">
        <f t="shared" ref="M17" si="7">L17/F17*100</f>
        <v>87.333333333333329</v>
      </c>
      <c r="N17" s="620">
        <f t="shared" ref="N17" si="8">L17/G17*100</f>
        <v>119.09090909090909</v>
      </c>
      <c r="P17" s="3"/>
    </row>
    <row r="18" spans="1:16" ht="15" customHeight="1" x14ac:dyDescent="0.2">
      <c r="A18" s="1332"/>
      <c r="B18" s="1401" t="s">
        <v>96</v>
      </c>
      <c r="C18" s="647" t="s">
        <v>138</v>
      </c>
      <c r="D18" s="424">
        <v>0</v>
      </c>
      <c r="E18" s="420">
        <v>0</v>
      </c>
      <c r="F18" s="424">
        <v>0</v>
      </c>
      <c r="G18" s="425">
        <v>0</v>
      </c>
      <c r="H18" s="420">
        <v>0</v>
      </c>
      <c r="I18" s="1035">
        <v>0</v>
      </c>
      <c r="J18" s="1035">
        <v>0</v>
      </c>
      <c r="K18" s="1036">
        <v>0</v>
      </c>
      <c r="L18" s="1011">
        <f>SUM(I18:K18)</f>
        <v>0</v>
      </c>
      <c r="M18" s="422" t="s">
        <v>60</v>
      </c>
      <c r="N18" s="423" t="s">
        <v>60</v>
      </c>
      <c r="P18" s="3"/>
    </row>
    <row r="19" spans="1:16" ht="15" customHeight="1" x14ac:dyDescent="0.2">
      <c r="A19" s="1332"/>
      <c r="B19" s="1402"/>
      <c r="C19" s="647" t="s">
        <v>137</v>
      </c>
      <c r="D19" s="419">
        <v>0</v>
      </c>
      <c r="E19" s="621">
        <v>0</v>
      </c>
      <c r="F19" s="419">
        <v>0</v>
      </c>
      <c r="G19" s="418">
        <v>0</v>
      </c>
      <c r="H19" s="621">
        <v>0</v>
      </c>
      <c r="I19" s="1040">
        <v>0</v>
      </c>
      <c r="J19" s="1040">
        <v>0</v>
      </c>
      <c r="K19" s="1041">
        <v>0</v>
      </c>
      <c r="L19" s="1011">
        <f>SUM(I19:K19)</f>
        <v>0</v>
      </c>
      <c r="M19" s="422" t="s">
        <v>60</v>
      </c>
      <c r="N19" s="423" t="s">
        <v>60</v>
      </c>
      <c r="P19" s="3"/>
    </row>
    <row r="20" spans="1:16" ht="15" customHeight="1" x14ac:dyDescent="0.2">
      <c r="A20" s="1332"/>
      <c r="B20" s="1402"/>
      <c r="C20" s="638" t="s">
        <v>414</v>
      </c>
      <c r="D20" s="83">
        <v>14</v>
      </c>
      <c r="E20" s="82">
        <v>0</v>
      </c>
      <c r="F20" s="83">
        <v>10</v>
      </c>
      <c r="G20" s="414">
        <v>10</v>
      </c>
      <c r="H20" s="95">
        <v>0</v>
      </c>
      <c r="I20" s="83">
        <v>4</v>
      </c>
      <c r="J20" s="1014">
        <v>0</v>
      </c>
      <c r="K20" s="1015">
        <v>0</v>
      </c>
      <c r="L20" s="1011">
        <f t="shared" ref="L20" si="9">SUM(I20:K20)</f>
        <v>4</v>
      </c>
      <c r="M20" s="422">
        <f t="shared" ref="M20" si="10">L20/F20*100</f>
        <v>40</v>
      </c>
      <c r="N20" s="423">
        <f t="shared" ref="N20" si="11">L20/G20*100</f>
        <v>40</v>
      </c>
      <c r="P20" s="3"/>
    </row>
    <row r="21" spans="1:16" ht="15" customHeight="1" x14ac:dyDescent="0.2">
      <c r="A21" s="1332"/>
      <c r="B21" s="1403"/>
      <c r="C21" s="568" t="s">
        <v>376</v>
      </c>
      <c r="D21" s="424">
        <v>200</v>
      </c>
      <c r="E21" s="420">
        <v>130</v>
      </c>
      <c r="F21" s="424">
        <v>140</v>
      </c>
      <c r="G21" s="425">
        <v>100</v>
      </c>
      <c r="H21" s="420">
        <v>100</v>
      </c>
      <c r="I21" s="1035">
        <v>108</v>
      </c>
      <c r="J21" s="1035">
        <v>13</v>
      </c>
      <c r="K21" s="1036">
        <v>6</v>
      </c>
      <c r="L21" s="1011">
        <f>SUM(I21:K21)</f>
        <v>127</v>
      </c>
      <c r="M21" s="422">
        <f>L21/F21*100</f>
        <v>90.714285714285708</v>
      </c>
      <c r="N21" s="423">
        <f>L21/G21*100</f>
        <v>127</v>
      </c>
      <c r="P21" s="3"/>
    </row>
    <row r="22" spans="1:16" s="509" customFormat="1" ht="30" customHeight="1" x14ac:dyDescent="0.2">
      <c r="A22" s="536">
        <v>4349</v>
      </c>
      <c r="B22" s="1404" t="s">
        <v>517</v>
      </c>
      <c r="C22" s="1405"/>
      <c r="D22" s="537">
        <v>300</v>
      </c>
      <c r="E22" s="538">
        <v>0</v>
      </c>
      <c r="F22" s="537">
        <v>300</v>
      </c>
      <c r="G22" s="449">
        <v>300</v>
      </c>
      <c r="H22" s="450">
        <v>88.52</v>
      </c>
      <c r="I22" s="1038">
        <v>300</v>
      </c>
      <c r="J22" s="1038">
        <v>0</v>
      </c>
      <c r="K22" s="1039">
        <v>0</v>
      </c>
      <c r="L22" s="1020">
        <f t="shared" si="4"/>
        <v>300</v>
      </c>
      <c r="M22" s="619">
        <f t="shared" ref="M22:M60" si="12">L22/F22*100</f>
        <v>100</v>
      </c>
      <c r="N22" s="620">
        <f t="shared" ref="N22:N60" si="13">L22/G22*100</f>
        <v>100</v>
      </c>
      <c r="P22" s="3"/>
    </row>
    <row r="23" spans="1:16" s="509" customFormat="1" ht="32.25" customHeight="1" x14ac:dyDescent="0.2">
      <c r="A23" s="1331">
        <v>4350</v>
      </c>
      <c r="B23" s="1336" t="s">
        <v>167</v>
      </c>
      <c r="C23" s="1337"/>
      <c r="D23" s="537">
        <f>SUM(D24:D27)</f>
        <v>246579</v>
      </c>
      <c r="E23" s="538">
        <f t="shared" ref="E23:K23" si="14">SUM(E24:E27)</f>
        <v>174452.93</v>
      </c>
      <c r="F23" s="530">
        <f t="shared" si="14"/>
        <v>227790</v>
      </c>
      <c r="G23" s="540">
        <f t="shared" si="14"/>
        <v>205936.53</v>
      </c>
      <c r="H23" s="539">
        <f t="shared" si="14"/>
        <v>148960.70000000001</v>
      </c>
      <c r="I23" s="953">
        <f t="shared" si="14"/>
        <v>171621</v>
      </c>
      <c r="J23" s="953">
        <f t="shared" si="14"/>
        <v>20190</v>
      </c>
      <c r="K23" s="1037">
        <f t="shared" si="14"/>
        <v>10095</v>
      </c>
      <c r="L23" s="962">
        <f>SUM(I23:K23)</f>
        <v>201906</v>
      </c>
      <c r="M23" s="619">
        <f t="shared" ref="M23" si="15">L23/F23*100</f>
        <v>88.636902410114587</v>
      </c>
      <c r="N23" s="620">
        <f t="shared" ref="N23" si="16">L23/G23*100</f>
        <v>98.042829021155214</v>
      </c>
      <c r="P23" s="3"/>
    </row>
    <row r="24" spans="1:16" ht="15" customHeight="1" x14ac:dyDescent="0.2">
      <c r="A24" s="1332"/>
      <c r="B24" s="1401" t="s">
        <v>96</v>
      </c>
      <c r="C24" s="647" t="s">
        <v>138</v>
      </c>
      <c r="D24" s="424">
        <v>10000</v>
      </c>
      <c r="E24" s="420">
        <v>10331.629999999999</v>
      </c>
      <c r="F24" s="424">
        <v>11700</v>
      </c>
      <c r="G24" s="81">
        <v>14239.78</v>
      </c>
      <c r="H24" s="844">
        <v>14239.78</v>
      </c>
      <c r="I24" s="83">
        <v>15401</v>
      </c>
      <c r="J24" s="1014">
        <v>1812</v>
      </c>
      <c r="K24" s="1042">
        <v>906</v>
      </c>
      <c r="L24" s="1011">
        <f>SUM(I24:K24)</f>
        <v>18119</v>
      </c>
      <c r="M24" s="422">
        <f>L24/F24*100</f>
        <v>154.86324786324786</v>
      </c>
      <c r="N24" s="423">
        <f>L24/G24*100</f>
        <v>127.24213435881732</v>
      </c>
      <c r="P24" s="3"/>
    </row>
    <row r="25" spans="1:16" ht="15" customHeight="1" x14ac:dyDescent="0.2">
      <c r="A25" s="1332"/>
      <c r="B25" s="1402"/>
      <c r="C25" s="647" t="s">
        <v>137</v>
      </c>
      <c r="D25" s="424">
        <v>50004</v>
      </c>
      <c r="E25" s="420">
        <v>45029.27</v>
      </c>
      <c r="F25" s="424">
        <v>51100</v>
      </c>
      <c r="G25" s="81">
        <v>39546.65</v>
      </c>
      <c r="H25" s="844">
        <v>39017.14</v>
      </c>
      <c r="I25" s="83">
        <v>40578</v>
      </c>
      <c r="J25" s="1014">
        <v>4774</v>
      </c>
      <c r="K25" s="1042">
        <v>2386</v>
      </c>
      <c r="L25" s="1011">
        <f>SUM(I25:K25)</f>
        <v>47738</v>
      </c>
      <c r="M25" s="422">
        <f>L25/F25*100</f>
        <v>93.420743639921724</v>
      </c>
      <c r="N25" s="423">
        <f>L25/G25*100</f>
        <v>120.71313246507604</v>
      </c>
      <c r="P25" s="3"/>
    </row>
    <row r="26" spans="1:16" ht="15" customHeight="1" x14ac:dyDescent="0.2">
      <c r="A26" s="1332"/>
      <c r="B26" s="1402"/>
      <c r="C26" s="638" t="s">
        <v>414</v>
      </c>
      <c r="D26" s="83">
        <v>85975</v>
      </c>
      <c r="E26" s="82">
        <v>17940.099999999999</v>
      </c>
      <c r="F26" s="83">
        <v>50290</v>
      </c>
      <c r="G26" s="81">
        <v>50290</v>
      </c>
      <c r="H26" s="844">
        <v>6164.15</v>
      </c>
      <c r="I26" s="83">
        <v>18797</v>
      </c>
      <c r="J26" s="1014">
        <v>2211</v>
      </c>
      <c r="K26" s="1042">
        <v>1106</v>
      </c>
      <c r="L26" s="1011">
        <f t="shared" ref="L26" si="17">SUM(I26:K26)</f>
        <v>22114</v>
      </c>
      <c r="M26" s="422">
        <f>L26/F26*100</f>
        <v>43.972956850268439</v>
      </c>
      <c r="N26" s="423">
        <f>L26/G26*100</f>
        <v>43.972956850268439</v>
      </c>
      <c r="P26" s="3"/>
    </row>
    <row r="27" spans="1:16" ht="15" customHeight="1" x14ac:dyDescent="0.2">
      <c r="A27" s="1332"/>
      <c r="B27" s="1403"/>
      <c r="C27" s="568" t="s">
        <v>376</v>
      </c>
      <c r="D27" s="424">
        <v>100600</v>
      </c>
      <c r="E27" s="420">
        <v>101151.93</v>
      </c>
      <c r="F27" s="424">
        <v>114700</v>
      </c>
      <c r="G27" s="81">
        <v>101860.1</v>
      </c>
      <c r="H27" s="844">
        <v>89539.63</v>
      </c>
      <c r="I27" s="83">
        <v>96845</v>
      </c>
      <c r="J27" s="1014">
        <v>11393</v>
      </c>
      <c r="K27" s="1042">
        <v>5697</v>
      </c>
      <c r="L27" s="1011">
        <f>SUM(I27:K27)</f>
        <v>113935</v>
      </c>
      <c r="M27" s="422">
        <f>L27/F27*100</f>
        <v>99.333042720139503</v>
      </c>
      <c r="N27" s="423">
        <f>L27/G27*100</f>
        <v>111.85439637306462</v>
      </c>
      <c r="P27" s="3"/>
    </row>
    <row r="28" spans="1:16" s="509" customFormat="1" ht="20.100000000000001" customHeight="1" x14ac:dyDescent="0.2">
      <c r="A28" s="536">
        <v>4350</v>
      </c>
      <c r="B28" s="1404" t="s">
        <v>121</v>
      </c>
      <c r="C28" s="1405"/>
      <c r="D28" s="537">
        <v>0</v>
      </c>
      <c r="E28" s="538">
        <v>2.2200000000000002</v>
      </c>
      <c r="F28" s="537">
        <v>0</v>
      </c>
      <c r="G28" s="449">
        <v>0</v>
      </c>
      <c r="H28" s="450">
        <v>0</v>
      </c>
      <c r="I28" s="1038">
        <v>0</v>
      </c>
      <c r="J28" s="1038">
        <v>0</v>
      </c>
      <c r="K28" s="1039">
        <v>0</v>
      </c>
      <c r="L28" s="1020">
        <f>SUM(I28:K28)</f>
        <v>0</v>
      </c>
      <c r="M28" s="619" t="s">
        <v>60</v>
      </c>
      <c r="N28" s="620" t="s">
        <v>60</v>
      </c>
      <c r="P28" s="3"/>
    </row>
    <row r="29" spans="1:16" s="509" customFormat="1" ht="46.5" customHeight="1" x14ac:dyDescent="0.2">
      <c r="A29" s="1331">
        <v>4351</v>
      </c>
      <c r="B29" s="1336" t="s">
        <v>168</v>
      </c>
      <c r="C29" s="1337"/>
      <c r="D29" s="537">
        <f>SUM(D30:D33)</f>
        <v>2458</v>
      </c>
      <c r="E29" s="538">
        <f t="shared" ref="E29:K29" si="18">SUM(E30:E33)</f>
        <v>2555.4299999999998</v>
      </c>
      <c r="F29" s="530">
        <f t="shared" si="18"/>
        <v>3115</v>
      </c>
      <c r="G29" s="540">
        <f t="shared" si="18"/>
        <v>5119.0499999999993</v>
      </c>
      <c r="H29" s="539">
        <f t="shared" si="18"/>
        <v>4864.0499999999993</v>
      </c>
      <c r="I29" s="953">
        <f t="shared" si="18"/>
        <v>4342</v>
      </c>
      <c r="J29" s="953">
        <f t="shared" si="18"/>
        <v>510</v>
      </c>
      <c r="K29" s="1037">
        <f t="shared" si="18"/>
        <v>255</v>
      </c>
      <c r="L29" s="962">
        <f>SUM(I29:K29)</f>
        <v>5107</v>
      </c>
      <c r="M29" s="534">
        <f t="shared" si="12"/>
        <v>163.94863563402888</v>
      </c>
      <c r="N29" s="535">
        <f t="shared" si="13"/>
        <v>99.764604760648965</v>
      </c>
      <c r="P29" s="3"/>
    </row>
    <row r="30" spans="1:16" ht="15" customHeight="1" x14ac:dyDescent="0.2">
      <c r="A30" s="1332"/>
      <c r="B30" s="1401" t="s">
        <v>96</v>
      </c>
      <c r="C30" s="647" t="s">
        <v>138</v>
      </c>
      <c r="D30" s="424">
        <v>50</v>
      </c>
      <c r="E30" s="420">
        <v>20</v>
      </c>
      <c r="F30" s="424">
        <v>20</v>
      </c>
      <c r="G30" s="425">
        <v>50</v>
      </c>
      <c r="H30" s="420">
        <v>50</v>
      </c>
      <c r="I30" s="1035">
        <v>55</v>
      </c>
      <c r="J30" s="1035">
        <v>6</v>
      </c>
      <c r="K30" s="1036">
        <v>3</v>
      </c>
      <c r="L30" s="1011">
        <f>SUM(I30:K30)</f>
        <v>64</v>
      </c>
      <c r="M30" s="422">
        <f>L30/F30*100</f>
        <v>320</v>
      </c>
      <c r="N30" s="423">
        <f>L30/G30*100</f>
        <v>128</v>
      </c>
      <c r="P30" s="3"/>
    </row>
    <row r="31" spans="1:16" ht="15" customHeight="1" x14ac:dyDescent="0.2">
      <c r="A31" s="1332"/>
      <c r="B31" s="1402"/>
      <c r="C31" s="647" t="s">
        <v>137</v>
      </c>
      <c r="D31" s="424">
        <v>174</v>
      </c>
      <c r="E31" s="420">
        <v>254.33</v>
      </c>
      <c r="F31" s="424">
        <v>280</v>
      </c>
      <c r="G31" s="81">
        <v>191.23</v>
      </c>
      <c r="H31" s="844">
        <v>191.23</v>
      </c>
      <c r="I31" s="83">
        <v>207</v>
      </c>
      <c r="J31" s="1014">
        <v>24</v>
      </c>
      <c r="K31" s="1042">
        <v>12</v>
      </c>
      <c r="L31" s="1011">
        <f>SUM(I31:K31)</f>
        <v>243</v>
      </c>
      <c r="M31" s="422">
        <f>L31/F31*100</f>
        <v>86.785714285714292</v>
      </c>
      <c r="N31" s="423">
        <f>L31/G31*100</f>
        <v>127.07211211629973</v>
      </c>
      <c r="P31" s="3"/>
    </row>
    <row r="32" spans="1:16" ht="15" customHeight="1" x14ac:dyDescent="0.2">
      <c r="A32" s="1332"/>
      <c r="B32" s="1402"/>
      <c r="C32" s="638" t="s">
        <v>414</v>
      </c>
      <c r="D32" s="83">
        <v>434</v>
      </c>
      <c r="E32" s="82">
        <v>0</v>
      </c>
      <c r="F32" s="83">
        <v>255</v>
      </c>
      <c r="G32" s="81">
        <v>255</v>
      </c>
      <c r="H32" s="844">
        <v>0</v>
      </c>
      <c r="I32" s="83">
        <v>95</v>
      </c>
      <c r="J32" s="1014">
        <v>11</v>
      </c>
      <c r="K32" s="1042">
        <v>6</v>
      </c>
      <c r="L32" s="1011">
        <f t="shared" ref="L32" si="19">SUM(I32:K32)</f>
        <v>112</v>
      </c>
      <c r="M32" s="422">
        <f>L32/F32*100</f>
        <v>43.921568627450981</v>
      </c>
      <c r="N32" s="423">
        <f>L32/G32*100</f>
        <v>43.921568627450981</v>
      </c>
      <c r="P32" s="3"/>
    </row>
    <row r="33" spans="1:16" ht="15" customHeight="1" x14ac:dyDescent="0.2">
      <c r="A33" s="1332"/>
      <c r="B33" s="1402"/>
      <c r="C33" s="568" t="s">
        <v>376</v>
      </c>
      <c r="D33" s="424">
        <v>1800</v>
      </c>
      <c r="E33" s="420">
        <v>2281.1</v>
      </c>
      <c r="F33" s="424">
        <v>2560</v>
      </c>
      <c r="G33" s="81">
        <v>4622.82</v>
      </c>
      <c r="H33" s="844">
        <v>4622.82</v>
      </c>
      <c r="I33" s="83">
        <v>3985</v>
      </c>
      <c r="J33" s="1014">
        <v>469</v>
      </c>
      <c r="K33" s="1042">
        <v>234</v>
      </c>
      <c r="L33" s="1011">
        <f>SUM(I33:K33)</f>
        <v>4688</v>
      </c>
      <c r="M33" s="422">
        <f>L33/F33*100</f>
        <v>183.125</v>
      </c>
      <c r="N33" s="423">
        <f>L33/G33*100</f>
        <v>101.40996188473703</v>
      </c>
      <c r="P33" s="3"/>
    </row>
    <row r="34" spans="1:16" s="509" customFormat="1" ht="30.75" customHeight="1" x14ac:dyDescent="0.2">
      <c r="A34" s="1331">
        <v>4354</v>
      </c>
      <c r="B34" s="1336" t="s">
        <v>169</v>
      </c>
      <c r="C34" s="1337"/>
      <c r="D34" s="530">
        <f>SUM(D35:D38)</f>
        <v>18889</v>
      </c>
      <c r="E34" s="539">
        <f t="shared" ref="E34:K34" si="20">SUM(E35:E38)</f>
        <v>16977.510000000002</v>
      </c>
      <c r="F34" s="530">
        <f t="shared" si="20"/>
        <v>20570</v>
      </c>
      <c r="G34" s="540">
        <f t="shared" si="20"/>
        <v>21440</v>
      </c>
      <c r="H34" s="539">
        <f t="shared" si="20"/>
        <v>16390.870000000003</v>
      </c>
      <c r="I34" s="953">
        <f t="shared" si="20"/>
        <v>18448</v>
      </c>
      <c r="J34" s="953">
        <f t="shared" si="20"/>
        <v>2170</v>
      </c>
      <c r="K34" s="1037">
        <f t="shared" si="20"/>
        <v>1085</v>
      </c>
      <c r="L34" s="962">
        <f>SUM(I34:K34)</f>
        <v>21703</v>
      </c>
      <c r="M34" s="534">
        <f t="shared" si="12"/>
        <v>105.50802139037434</v>
      </c>
      <c r="N34" s="535">
        <f t="shared" si="13"/>
        <v>101.2266791044776</v>
      </c>
      <c r="P34" s="3"/>
    </row>
    <row r="35" spans="1:16" ht="15" customHeight="1" x14ac:dyDescent="0.2">
      <c r="A35" s="1332"/>
      <c r="B35" s="1401" t="s">
        <v>96</v>
      </c>
      <c r="C35" s="647" t="s">
        <v>138</v>
      </c>
      <c r="D35" s="424">
        <v>1000</v>
      </c>
      <c r="E35" s="420">
        <v>520</v>
      </c>
      <c r="F35" s="424">
        <v>580</v>
      </c>
      <c r="G35" s="81">
        <v>920</v>
      </c>
      <c r="H35" s="844">
        <v>920</v>
      </c>
      <c r="I35" s="83">
        <v>995</v>
      </c>
      <c r="J35" s="1014">
        <v>117</v>
      </c>
      <c r="K35" s="1042">
        <v>59</v>
      </c>
      <c r="L35" s="1011">
        <f>SUM(I35:K35)</f>
        <v>1171</v>
      </c>
      <c r="M35" s="422">
        <f>L35/F35*100</f>
        <v>201.89655172413791</v>
      </c>
      <c r="N35" s="423">
        <f>L35/G35*100</f>
        <v>127.28260869565217</v>
      </c>
      <c r="P35" s="3"/>
    </row>
    <row r="36" spans="1:16" ht="15" customHeight="1" x14ac:dyDescent="0.2">
      <c r="A36" s="1332"/>
      <c r="B36" s="1402"/>
      <c r="C36" s="647" t="s">
        <v>137</v>
      </c>
      <c r="D36" s="424">
        <v>2299</v>
      </c>
      <c r="E36" s="420">
        <v>2145.8000000000002</v>
      </c>
      <c r="F36" s="424">
        <v>2400</v>
      </c>
      <c r="G36" s="81">
        <v>2930</v>
      </c>
      <c r="H36" s="844">
        <v>2930</v>
      </c>
      <c r="I36" s="83">
        <v>3169</v>
      </c>
      <c r="J36" s="1014">
        <v>373</v>
      </c>
      <c r="K36" s="1042">
        <v>186</v>
      </c>
      <c r="L36" s="1011">
        <f>SUM(I36:K36)</f>
        <v>3728</v>
      </c>
      <c r="M36" s="422">
        <f>L36/F36*100</f>
        <v>155.33333333333331</v>
      </c>
      <c r="N36" s="423">
        <f>L36/G36*100</f>
        <v>127.23549488054609</v>
      </c>
      <c r="P36" s="3"/>
    </row>
    <row r="37" spans="1:16" ht="15" customHeight="1" x14ac:dyDescent="0.2">
      <c r="A37" s="1332"/>
      <c r="B37" s="1402"/>
      <c r="C37" s="638" t="s">
        <v>414</v>
      </c>
      <c r="D37" s="83">
        <v>4590</v>
      </c>
      <c r="E37" s="82">
        <v>1046.78</v>
      </c>
      <c r="F37" s="83">
        <v>2690</v>
      </c>
      <c r="G37" s="81">
        <v>2690</v>
      </c>
      <c r="H37" s="844">
        <v>264.10000000000002</v>
      </c>
      <c r="I37" s="83">
        <v>1006</v>
      </c>
      <c r="J37" s="1014">
        <v>118</v>
      </c>
      <c r="K37" s="1042">
        <v>59</v>
      </c>
      <c r="L37" s="1011">
        <f t="shared" ref="L37" si="21">SUM(I37:K37)</f>
        <v>1183</v>
      </c>
      <c r="M37" s="422">
        <f>L37/F37*100</f>
        <v>43.977695167286242</v>
      </c>
      <c r="N37" s="423">
        <f>L37/G37*100</f>
        <v>43.977695167286242</v>
      </c>
      <c r="P37" s="3"/>
    </row>
    <row r="38" spans="1:16" ht="15" customHeight="1" x14ac:dyDescent="0.2">
      <c r="A38" s="1332"/>
      <c r="B38" s="1402"/>
      <c r="C38" s="568" t="s">
        <v>376</v>
      </c>
      <c r="D38" s="424">
        <v>11000</v>
      </c>
      <c r="E38" s="420">
        <v>13264.93</v>
      </c>
      <c r="F38" s="424">
        <v>14900</v>
      </c>
      <c r="G38" s="81">
        <v>14900</v>
      </c>
      <c r="H38" s="844">
        <v>12276.77</v>
      </c>
      <c r="I38" s="83">
        <v>13278</v>
      </c>
      <c r="J38" s="1014">
        <v>1562</v>
      </c>
      <c r="K38" s="1042">
        <v>781</v>
      </c>
      <c r="L38" s="1011">
        <f>SUM(I38:K38)</f>
        <v>15621</v>
      </c>
      <c r="M38" s="422">
        <f>L38/F38*100</f>
        <v>104.83892617449663</v>
      </c>
      <c r="N38" s="423">
        <f>L38/G38*100</f>
        <v>104.83892617449663</v>
      </c>
      <c r="P38" s="3"/>
    </row>
    <row r="39" spans="1:16" s="509" customFormat="1" ht="30.75" customHeight="1" x14ac:dyDescent="0.2">
      <c r="A39" s="1331">
        <v>4355</v>
      </c>
      <c r="B39" s="1336" t="s">
        <v>170</v>
      </c>
      <c r="C39" s="1337"/>
      <c r="D39" s="530">
        <f>SUM(D40:D43)</f>
        <v>7066</v>
      </c>
      <c r="E39" s="539">
        <f t="shared" ref="E39:K39" si="22">SUM(E40:E43)</f>
        <v>3030.5</v>
      </c>
      <c r="F39" s="530">
        <f t="shared" si="22"/>
        <v>4510</v>
      </c>
      <c r="G39" s="540">
        <f t="shared" si="22"/>
        <v>5802.9</v>
      </c>
      <c r="H39" s="539">
        <f t="shared" si="22"/>
        <v>3717.8</v>
      </c>
      <c r="I39" s="953">
        <f t="shared" si="22"/>
        <v>4260</v>
      </c>
      <c r="J39" s="953">
        <f t="shared" si="22"/>
        <v>501</v>
      </c>
      <c r="K39" s="1037">
        <f t="shared" si="22"/>
        <v>251</v>
      </c>
      <c r="L39" s="962">
        <f>SUM(I39:K39)</f>
        <v>5012</v>
      </c>
      <c r="M39" s="534">
        <f t="shared" si="12"/>
        <v>111.13082039911308</v>
      </c>
      <c r="N39" s="535">
        <f t="shared" si="13"/>
        <v>86.370607799548509</v>
      </c>
      <c r="P39" s="3"/>
    </row>
    <row r="40" spans="1:16" ht="15" customHeight="1" x14ac:dyDescent="0.2">
      <c r="A40" s="1332"/>
      <c r="B40" s="1401" t="s">
        <v>96</v>
      </c>
      <c r="C40" s="647" t="s">
        <v>138</v>
      </c>
      <c r="D40" s="424">
        <v>50</v>
      </c>
      <c r="E40" s="420">
        <v>0</v>
      </c>
      <c r="F40" s="424">
        <v>0</v>
      </c>
      <c r="G40" s="81">
        <v>0</v>
      </c>
      <c r="H40" s="844">
        <v>0</v>
      </c>
      <c r="I40" s="83">
        <v>0</v>
      </c>
      <c r="J40" s="1014">
        <v>0</v>
      </c>
      <c r="K40" s="1042">
        <v>0</v>
      </c>
      <c r="L40" s="1011">
        <f>SUM(I40:K40)</f>
        <v>0</v>
      </c>
      <c r="M40" s="422" t="s">
        <v>60</v>
      </c>
      <c r="N40" s="423" t="s">
        <v>60</v>
      </c>
      <c r="P40" s="3"/>
    </row>
    <row r="41" spans="1:16" ht="15" customHeight="1" x14ac:dyDescent="0.2">
      <c r="A41" s="1332"/>
      <c r="B41" s="1402"/>
      <c r="C41" s="647" t="s">
        <v>137</v>
      </c>
      <c r="D41" s="424">
        <v>1548</v>
      </c>
      <c r="E41" s="420">
        <v>1231</v>
      </c>
      <c r="F41" s="424">
        <v>1400</v>
      </c>
      <c r="G41" s="81">
        <v>1400</v>
      </c>
      <c r="H41" s="844">
        <v>308</v>
      </c>
      <c r="I41" s="83">
        <v>333</v>
      </c>
      <c r="J41" s="1014">
        <v>39</v>
      </c>
      <c r="K41" s="1042">
        <v>20</v>
      </c>
      <c r="L41" s="1011">
        <f>SUM(I41:K41)</f>
        <v>392</v>
      </c>
      <c r="M41" s="422">
        <f>L41/F41*100</f>
        <v>28.000000000000004</v>
      </c>
      <c r="N41" s="423">
        <f>L41/G41*100</f>
        <v>28.000000000000004</v>
      </c>
      <c r="P41" s="3"/>
    </row>
    <row r="42" spans="1:16" ht="15" customHeight="1" x14ac:dyDescent="0.2">
      <c r="A42" s="1332"/>
      <c r="B42" s="1402"/>
      <c r="C42" s="638" t="s">
        <v>414</v>
      </c>
      <c r="D42" s="83">
        <v>2018</v>
      </c>
      <c r="E42" s="82">
        <v>80</v>
      </c>
      <c r="F42" s="83">
        <v>1180</v>
      </c>
      <c r="G42" s="81">
        <v>1180</v>
      </c>
      <c r="H42" s="844">
        <v>186.9</v>
      </c>
      <c r="I42" s="83">
        <v>441</v>
      </c>
      <c r="J42" s="1014">
        <v>52</v>
      </c>
      <c r="K42" s="1042">
        <v>26</v>
      </c>
      <c r="L42" s="1011">
        <f t="shared" ref="L42" si="23">SUM(I42:K42)</f>
        <v>519</v>
      </c>
      <c r="M42" s="422">
        <f>L42/F42*100</f>
        <v>43.983050847457626</v>
      </c>
      <c r="N42" s="423">
        <f>L42/G42*100</f>
        <v>43.983050847457626</v>
      </c>
      <c r="P42" s="3"/>
    </row>
    <row r="43" spans="1:16" ht="15" customHeight="1" x14ac:dyDescent="0.2">
      <c r="A43" s="1332"/>
      <c r="B43" s="1402"/>
      <c r="C43" s="568" t="s">
        <v>376</v>
      </c>
      <c r="D43" s="424">
        <v>3450</v>
      </c>
      <c r="E43" s="420">
        <v>1719.5</v>
      </c>
      <c r="F43" s="424">
        <v>1930</v>
      </c>
      <c r="G43" s="81">
        <v>3222.9</v>
      </c>
      <c r="H43" s="844">
        <v>3222.9</v>
      </c>
      <c r="I43" s="83">
        <v>3486</v>
      </c>
      <c r="J43" s="1014">
        <v>410</v>
      </c>
      <c r="K43" s="1042">
        <v>205</v>
      </c>
      <c r="L43" s="1011">
        <f>SUM(I43:K43)</f>
        <v>4101</v>
      </c>
      <c r="M43" s="422">
        <f>L43/F43*100</f>
        <v>212.48704663212433</v>
      </c>
      <c r="N43" s="423">
        <f>L43/G43*100</f>
        <v>127.24564832914456</v>
      </c>
      <c r="P43" s="3"/>
    </row>
    <row r="44" spans="1:16" s="509" customFormat="1" ht="33.75" customHeight="1" x14ac:dyDescent="0.2">
      <c r="A44" s="1331">
        <v>4356</v>
      </c>
      <c r="B44" s="1336" t="s">
        <v>171</v>
      </c>
      <c r="C44" s="1337"/>
      <c r="D44" s="537">
        <f>SUM(D45:D48)</f>
        <v>5349</v>
      </c>
      <c r="E44" s="538">
        <f t="shared" ref="E44:K44" si="24">SUM(E45:E48)</f>
        <v>4909.9400000000005</v>
      </c>
      <c r="F44" s="530">
        <f t="shared" si="24"/>
        <v>6060</v>
      </c>
      <c r="G44" s="540">
        <f t="shared" si="24"/>
        <v>5157.8500000000004</v>
      </c>
      <c r="H44" s="539">
        <f t="shared" si="24"/>
        <v>2055.2800000000002</v>
      </c>
      <c r="I44" s="953">
        <f t="shared" si="24"/>
        <v>2582</v>
      </c>
      <c r="J44" s="953">
        <f t="shared" si="24"/>
        <v>304</v>
      </c>
      <c r="K44" s="1037">
        <f t="shared" si="24"/>
        <v>151</v>
      </c>
      <c r="L44" s="962">
        <f>SUM(I44:K44)</f>
        <v>3037</v>
      </c>
      <c r="M44" s="534">
        <f t="shared" si="12"/>
        <v>50.115511551155109</v>
      </c>
      <c r="N44" s="535">
        <f t="shared" si="13"/>
        <v>58.881122948515362</v>
      </c>
      <c r="P44" s="3"/>
    </row>
    <row r="45" spans="1:16" ht="15" customHeight="1" x14ac:dyDescent="0.2">
      <c r="A45" s="1332"/>
      <c r="B45" s="1401" t="s">
        <v>96</v>
      </c>
      <c r="C45" s="647" t="s">
        <v>138</v>
      </c>
      <c r="D45" s="424">
        <v>50</v>
      </c>
      <c r="E45" s="420">
        <v>0</v>
      </c>
      <c r="F45" s="424">
        <v>0</v>
      </c>
      <c r="G45" s="81">
        <v>0</v>
      </c>
      <c r="H45" s="844">
        <v>0</v>
      </c>
      <c r="I45" s="83">
        <v>0</v>
      </c>
      <c r="J45" s="1014">
        <v>0</v>
      </c>
      <c r="K45" s="1042">
        <v>0</v>
      </c>
      <c r="L45" s="1011">
        <f>SUM(I45:K45)</f>
        <v>0</v>
      </c>
      <c r="M45" s="422" t="s">
        <v>60</v>
      </c>
      <c r="N45" s="423" t="s">
        <v>60</v>
      </c>
      <c r="P45" s="3"/>
    </row>
    <row r="46" spans="1:16" ht="15" customHeight="1" x14ac:dyDescent="0.2">
      <c r="A46" s="1332"/>
      <c r="B46" s="1402"/>
      <c r="C46" s="647" t="s">
        <v>137</v>
      </c>
      <c r="D46" s="424">
        <v>1165</v>
      </c>
      <c r="E46" s="420">
        <v>1057.67</v>
      </c>
      <c r="F46" s="424">
        <v>1200</v>
      </c>
      <c r="G46" s="81">
        <v>297.85000000000002</v>
      </c>
      <c r="H46" s="844">
        <v>297.85000000000002</v>
      </c>
      <c r="I46" s="83">
        <v>322</v>
      </c>
      <c r="J46" s="1014">
        <v>38</v>
      </c>
      <c r="K46" s="1042">
        <v>19</v>
      </c>
      <c r="L46" s="1011">
        <f>SUM(I46:K46)</f>
        <v>379</v>
      </c>
      <c r="M46" s="422">
        <f>L46/F46*100</f>
        <v>31.583333333333336</v>
      </c>
      <c r="N46" s="423">
        <f>L46/G46*100</f>
        <v>127.24525768004027</v>
      </c>
      <c r="P46" s="3"/>
    </row>
    <row r="47" spans="1:16" ht="15" customHeight="1" x14ac:dyDescent="0.2">
      <c r="A47" s="1332"/>
      <c r="B47" s="1402"/>
      <c r="C47" s="638" t="s">
        <v>414</v>
      </c>
      <c r="D47" s="83">
        <v>1634</v>
      </c>
      <c r="E47" s="82">
        <v>409.94</v>
      </c>
      <c r="F47" s="83">
        <v>960</v>
      </c>
      <c r="G47" s="81">
        <v>960</v>
      </c>
      <c r="H47" s="844">
        <v>0</v>
      </c>
      <c r="I47" s="83">
        <v>359</v>
      </c>
      <c r="J47" s="1014">
        <v>42</v>
      </c>
      <c r="K47" s="1042">
        <v>21</v>
      </c>
      <c r="L47" s="1011">
        <f t="shared" ref="L47" si="25">SUM(I47:K47)</f>
        <v>422</v>
      </c>
      <c r="M47" s="422">
        <f>L47/F47*100</f>
        <v>43.958333333333336</v>
      </c>
      <c r="N47" s="423">
        <f>L47/G47*100</f>
        <v>43.958333333333336</v>
      </c>
      <c r="P47" s="3"/>
    </row>
    <row r="48" spans="1:16" ht="15" customHeight="1" x14ac:dyDescent="0.2">
      <c r="A48" s="1332"/>
      <c r="B48" s="1402"/>
      <c r="C48" s="568" t="s">
        <v>376</v>
      </c>
      <c r="D48" s="424">
        <v>2500</v>
      </c>
      <c r="E48" s="420">
        <v>3442.33</v>
      </c>
      <c r="F48" s="424">
        <v>3900</v>
      </c>
      <c r="G48" s="81">
        <v>3900</v>
      </c>
      <c r="H48" s="844">
        <v>1757.43</v>
      </c>
      <c r="I48" s="83">
        <v>1901</v>
      </c>
      <c r="J48" s="1014">
        <v>224</v>
      </c>
      <c r="K48" s="1042">
        <v>111</v>
      </c>
      <c r="L48" s="1011">
        <f>SUM(I48:K48)</f>
        <v>2236</v>
      </c>
      <c r="M48" s="422">
        <f>L48/F48*100</f>
        <v>57.333333333333336</v>
      </c>
      <c r="N48" s="423">
        <f>L48/G48*100</f>
        <v>57.333333333333336</v>
      </c>
      <c r="P48" s="3"/>
    </row>
    <row r="49" spans="1:16" s="509" customFormat="1" ht="49.5" customHeight="1" x14ac:dyDescent="0.2">
      <c r="A49" s="1331">
        <v>4357</v>
      </c>
      <c r="B49" s="1336" t="s">
        <v>172</v>
      </c>
      <c r="C49" s="1337"/>
      <c r="D49" s="537">
        <f>SUM(D50:D53)</f>
        <v>195194</v>
      </c>
      <c r="E49" s="538">
        <f t="shared" ref="E49:K49" si="26">SUM(E50:E53)</f>
        <v>152092.60999999999</v>
      </c>
      <c r="F49" s="530">
        <f t="shared" si="26"/>
        <v>190840</v>
      </c>
      <c r="G49" s="540">
        <f t="shared" si="26"/>
        <v>205971.5</v>
      </c>
      <c r="H49" s="539">
        <f t="shared" si="26"/>
        <v>161387.72</v>
      </c>
      <c r="I49" s="953">
        <f t="shared" si="26"/>
        <v>179900</v>
      </c>
      <c r="J49" s="953">
        <f t="shared" si="26"/>
        <v>21165</v>
      </c>
      <c r="K49" s="1037">
        <f t="shared" si="26"/>
        <v>10583</v>
      </c>
      <c r="L49" s="962">
        <f>SUM(I49:K49)</f>
        <v>211648</v>
      </c>
      <c r="M49" s="534">
        <f t="shared" si="12"/>
        <v>110.9033745546007</v>
      </c>
      <c r="N49" s="535">
        <f t="shared" si="13"/>
        <v>102.75596381052719</v>
      </c>
      <c r="P49" s="3"/>
    </row>
    <row r="50" spans="1:16" ht="15" customHeight="1" x14ac:dyDescent="0.2">
      <c r="A50" s="1332"/>
      <c r="B50" s="1401" t="s">
        <v>96</v>
      </c>
      <c r="C50" s="647" t="s">
        <v>138</v>
      </c>
      <c r="D50" s="424">
        <v>3000</v>
      </c>
      <c r="E50" s="420">
        <v>7785.1</v>
      </c>
      <c r="F50" s="424">
        <v>8800</v>
      </c>
      <c r="G50" s="81">
        <v>18199</v>
      </c>
      <c r="H50" s="844">
        <v>18199</v>
      </c>
      <c r="I50" s="83">
        <v>17968</v>
      </c>
      <c r="J50" s="1014">
        <v>2114</v>
      </c>
      <c r="K50" s="1042">
        <v>1057</v>
      </c>
      <c r="L50" s="1011">
        <f>SUM(I50:K50)</f>
        <v>21139</v>
      </c>
      <c r="M50" s="422">
        <f>L50/F50*100</f>
        <v>240.21590909090912</v>
      </c>
      <c r="N50" s="423">
        <f>L50/G50*100</f>
        <v>116.15473377658112</v>
      </c>
      <c r="P50" s="3"/>
    </row>
    <row r="51" spans="1:16" ht="15" customHeight="1" x14ac:dyDescent="0.2">
      <c r="A51" s="1332"/>
      <c r="B51" s="1402"/>
      <c r="C51" s="647" t="s">
        <v>137</v>
      </c>
      <c r="D51" s="424">
        <v>42753</v>
      </c>
      <c r="E51" s="420">
        <v>34207.550000000003</v>
      </c>
      <c r="F51" s="424">
        <v>39900</v>
      </c>
      <c r="G51" s="81">
        <v>32314</v>
      </c>
      <c r="H51" s="844">
        <v>31108.31</v>
      </c>
      <c r="I51" s="83">
        <v>32891</v>
      </c>
      <c r="J51" s="1014">
        <v>3870</v>
      </c>
      <c r="K51" s="1042">
        <v>1935</v>
      </c>
      <c r="L51" s="1011">
        <f>SUM(I51:K51)</f>
        <v>38696</v>
      </c>
      <c r="M51" s="422">
        <f>L51/F51*100</f>
        <v>96.982456140350877</v>
      </c>
      <c r="N51" s="423">
        <f>L51/G51*100</f>
        <v>119.74995358049144</v>
      </c>
      <c r="P51" s="3"/>
    </row>
    <row r="52" spans="1:16" ht="15" customHeight="1" x14ac:dyDescent="0.2">
      <c r="A52" s="1332"/>
      <c r="B52" s="1402"/>
      <c r="C52" s="638" t="s">
        <v>414</v>
      </c>
      <c r="D52" s="83">
        <v>57613</v>
      </c>
      <c r="E52" s="82">
        <v>13810.67</v>
      </c>
      <c r="F52" s="83">
        <v>33700</v>
      </c>
      <c r="G52" s="81">
        <v>33700</v>
      </c>
      <c r="H52" s="844">
        <v>4418.5</v>
      </c>
      <c r="I52" s="83">
        <v>12596</v>
      </c>
      <c r="J52" s="1014">
        <v>1482</v>
      </c>
      <c r="K52" s="1042">
        <v>741</v>
      </c>
      <c r="L52" s="1011">
        <f t="shared" ref="L52" si="27">SUM(I52:K52)</f>
        <v>14819</v>
      </c>
      <c r="M52" s="422">
        <f>L52/F52*100</f>
        <v>43.973293768545993</v>
      </c>
      <c r="N52" s="423">
        <f>L52/G52*100</f>
        <v>43.973293768545993</v>
      </c>
      <c r="P52" s="3"/>
    </row>
    <row r="53" spans="1:16" ht="15" customHeight="1" x14ac:dyDescent="0.2">
      <c r="A53" s="1332"/>
      <c r="B53" s="1402"/>
      <c r="C53" s="568" t="s">
        <v>376</v>
      </c>
      <c r="D53" s="424">
        <v>91828</v>
      </c>
      <c r="E53" s="420">
        <v>96289.29</v>
      </c>
      <c r="F53" s="424">
        <v>108440</v>
      </c>
      <c r="G53" s="81">
        <v>121758.5</v>
      </c>
      <c r="H53" s="844">
        <v>107661.91</v>
      </c>
      <c r="I53" s="83">
        <v>116445</v>
      </c>
      <c r="J53" s="1014">
        <v>13699</v>
      </c>
      <c r="K53" s="1042">
        <v>6850</v>
      </c>
      <c r="L53" s="1011">
        <f>SUM(I53:K53)</f>
        <v>136994</v>
      </c>
      <c r="M53" s="422">
        <f>L53/F53*100</f>
        <v>126.33161195130948</v>
      </c>
      <c r="N53" s="423">
        <f>L53/G53*100</f>
        <v>112.51288411076024</v>
      </c>
      <c r="P53" s="3"/>
    </row>
    <row r="54" spans="1:16" s="509" customFormat="1" ht="31.5" customHeight="1" x14ac:dyDescent="0.2">
      <c r="A54" s="1331">
        <v>4359</v>
      </c>
      <c r="B54" s="1336" t="s">
        <v>258</v>
      </c>
      <c r="C54" s="1337"/>
      <c r="D54" s="530">
        <f>SUM(D55:D58)</f>
        <v>4497</v>
      </c>
      <c r="E54" s="539">
        <f t="shared" ref="E54:K54" si="28">SUM(E55:E58)</f>
        <v>3573.4</v>
      </c>
      <c r="F54" s="530">
        <f t="shared" si="28"/>
        <v>4330</v>
      </c>
      <c r="G54" s="457">
        <f t="shared" si="28"/>
        <v>2885.48</v>
      </c>
      <c r="H54" s="458">
        <f t="shared" si="28"/>
        <v>2465.48</v>
      </c>
      <c r="I54" s="953">
        <f t="shared" si="28"/>
        <v>2825</v>
      </c>
      <c r="J54" s="953">
        <f t="shared" si="28"/>
        <v>332</v>
      </c>
      <c r="K54" s="1037">
        <f t="shared" si="28"/>
        <v>165</v>
      </c>
      <c r="L54" s="962">
        <f t="shared" si="4"/>
        <v>3322</v>
      </c>
      <c r="M54" s="534">
        <f t="shared" si="12"/>
        <v>76.720554272517319</v>
      </c>
      <c r="N54" s="535">
        <f t="shared" si="13"/>
        <v>115.1281589198331</v>
      </c>
      <c r="P54" s="3"/>
    </row>
    <row r="55" spans="1:16" ht="15" customHeight="1" x14ac:dyDescent="0.2">
      <c r="A55" s="1332"/>
      <c r="B55" s="1401" t="s">
        <v>96</v>
      </c>
      <c r="C55" s="647" t="s">
        <v>138</v>
      </c>
      <c r="D55" s="424">
        <v>100</v>
      </c>
      <c r="E55" s="420">
        <v>10.16</v>
      </c>
      <c r="F55" s="424">
        <v>10</v>
      </c>
      <c r="G55" s="81">
        <v>7.05</v>
      </c>
      <c r="H55" s="844">
        <v>7.05</v>
      </c>
      <c r="I55" s="83">
        <v>8</v>
      </c>
      <c r="J55" s="1014">
        <v>1</v>
      </c>
      <c r="K55" s="1042">
        <v>0</v>
      </c>
      <c r="L55" s="1011">
        <f>SUM(I55:K55)</f>
        <v>9</v>
      </c>
      <c r="M55" s="422">
        <f>L55/F55*100</f>
        <v>90</v>
      </c>
      <c r="N55" s="423">
        <f>L55/G55*100</f>
        <v>127.65957446808511</v>
      </c>
      <c r="P55" s="3"/>
    </row>
    <row r="56" spans="1:16" ht="15" customHeight="1" x14ac:dyDescent="0.2">
      <c r="A56" s="1332"/>
      <c r="B56" s="1402"/>
      <c r="C56" s="647" t="s">
        <v>137</v>
      </c>
      <c r="D56" s="424">
        <v>574</v>
      </c>
      <c r="E56" s="420">
        <v>829.62</v>
      </c>
      <c r="F56" s="424">
        <v>900</v>
      </c>
      <c r="G56" s="81">
        <v>184.83</v>
      </c>
      <c r="H56" s="844">
        <v>184.83</v>
      </c>
      <c r="I56" s="83">
        <v>200</v>
      </c>
      <c r="J56" s="1014">
        <v>24</v>
      </c>
      <c r="K56" s="1042">
        <v>11</v>
      </c>
      <c r="L56" s="1011">
        <f>SUM(I56:K56)</f>
        <v>235</v>
      </c>
      <c r="M56" s="422">
        <f>L56/F56*100</f>
        <v>26.111111111111114</v>
      </c>
      <c r="N56" s="423">
        <f>L56/G56*100</f>
        <v>127.1438619271763</v>
      </c>
      <c r="P56" s="3"/>
    </row>
    <row r="57" spans="1:16" ht="15" customHeight="1" x14ac:dyDescent="0.2">
      <c r="A57" s="1332"/>
      <c r="B57" s="1402"/>
      <c r="C57" s="638" t="s">
        <v>414</v>
      </c>
      <c r="D57" s="83">
        <v>723</v>
      </c>
      <c r="E57" s="82">
        <v>66.22</v>
      </c>
      <c r="F57" s="83">
        <v>420</v>
      </c>
      <c r="G57" s="81">
        <v>420</v>
      </c>
      <c r="H57" s="844">
        <v>0</v>
      </c>
      <c r="I57" s="83">
        <v>158</v>
      </c>
      <c r="J57" s="1014">
        <v>18</v>
      </c>
      <c r="K57" s="1042">
        <v>9</v>
      </c>
      <c r="L57" s="1011">
        <f t="shared" ref="L57" si="29">SUM(I57:K57)</f>
        <v>185</v>
      </c>
      <c r="M57" s="422">
        <f>L57/F57*100</f>
        <v>44.047619047619044</v>
      </c>
      <c r="N57" s="423">
        <f>L57/G57*100</f>
        <v>44.047619047619044</v>
      </c>
      <c r="P57" s="3"/>
    </row>
    <row r="58" spans="1:16" ht="15" customHeight="1" x14ac:dyDescent="0.2">
      <c r="A58" s="1332"/>
      <c r="B58" s="1402"/>
      <c r="C58" s="568" t="s">
        <v>376</v>
      </c>
      <c r="D58" s="424">
        <v>3100</v>
      </c>
      <c r="E58" s="420">
        <v>2667.4</v>
      </c>
      <c r="F58" s="424">
        <v>3000</v>
      </c>
      <c r="G58" s="81">
        <v>2273.6</v>
      </c>
      <c r="H58" s="844">
        <v>2273.6</v>
      </c>
      <c r="I58" s="83">
        <v>2459</v>
      </c>
      <c r="J58" s="1014">
        <v>289</v>
      </c>
      <c r="K58" s="1042">
        <v>145</v>
      </c>
      <c r="L58" s="1011">
        <f>SUM(I58:K58)</f>
        <v>2893</v>
      </c>
      <c r="M58" s="422">
        <f>L58/F58*100</f>
        <v>96.433333333333337</v>
      </c>
      <c r="N58" s="423">
        <f>L58/G58*100</f>
        <v>127.24313863476426</v>
      </c>
      <c r="P58" s="3"/>
    </row>
    <row r="59" spans="1:16" s="509" customFormat="1" ht="34.5" customHeight="1" x14ac:dyDescent="0.2">
      <c r="A59" s="495">
        <v>4369</v>
      </c>
      <c r="B59" s="1336" t="s">
        <v>173</v>
      </c>
      <c r="C59" s="1337"/>
      <c r="D59" s="530">
        <v>200</v>
      </c>
      <c r="E59" s="539">
        <v>0</v>
      </c>
      <c r="F59" s="530">
        <v>200</v>
      </c>
      <c r="G59" s="457">
        <v>200</v>
      </c>
      <c r="H59" s="458">
        <v>0</v>
      </c>
      <c r="I59" s="953">
        <v>200</v>
      </c>
      <c r="J59" s="953">
        <v>0</v>
      </c>
      <c r="K59" s="1037">
        <v>0</v>
      </c>
      <c r="L59" s="962">
        <f t="shared" si="4"/>
        <v>200</v>
      </c>
      <c r="M59" s="534">
        <f t="shared" si="12"/>
        <v>100</v>
      </c>
      <c r="N59" s="535">
        <f t="shared" si="13"/>
        <v>100</v>
      </c>
      <c r="P59" s="3"/>
    </row>
    <row r="60" spans="1:16" s="509" customFormat="1" ht="48" customHeight="1" x14ac:dyDescent="0.2">
      <c r="A60" s="1331">
        <v>4374</v>
      </c>
      <c r="B60" s="1336" t="s">
        <v>259</v>
      </c>
      <c r="C60" s="1337"/>
      <c r="D60" s="537">
        <f>SUM(D61:D64)</f>
        <v>1068</v>
      </c>
      <c r="E60" s="538">
        <f t="shared" ref="E60:K60" si="30">SUM(E61:E64)</f>
        <v>1827</v>
      </c>
      <c r="F60" s="530">
        <f t="shared" si="30"/>
        <v>2195</v>
      </c>
      <c r="G60" s="540">
        <f t="shared" si="30"/>
        <v>1996.88</v>
      </c>
      <c r="H60" s="539">
        <f t="shared" si="30"/>
        <v>1806.88</v>
      </c>
      <c r="I60" s="953">
        <f t="shared" si="30"/>
        <v>2026</v>
      </c>
      <c r="J60" s="953">
        <f t="shared" si="30"/>
        <v>237</v>
      </c>
      <c r="K60" s="1037">
        <f t="shared" si="30"/>
        <v>119</v>
      </c>
      <c r="L60" s="962">
        <f>SUM(I60:K60)</f>
        <v>2382</v>
      </c>
      <c r="M60" s="534">
        <f t="shared" si="12"/>
        <v>108.51936218678814</v>
      </c>
      <c r="N60" s="535">
        <f t="shared" si="13"/>
        <v>119.28608629461961</v>
      </c>
      <c r="P60" s="3"/>
    </row>
    <row r="61" spans="1:16" ht="15" customHeight="1" x14ac:dyDescent="0.2">
      <c r="A61" s="1332"/>
      <c r="B61" s="1401" t="s">
        <v>96</v>
      </c>
      <c r="C61" s="647" t="s">
        <v>138</v>
      </c>
      <c r="D61" s="424">
        <v>20</v>
      </c>
      <c r="E61" s="420">
        <v>5</v>
      </c>
      <c r="F61" s="424">
        <v>5</v>
      </c>
      <c r="G61" s="81">
        <v>2.5</v>
      </c>
      <c r="H61" s="844">
        <v>2.5</v>
      </c>
      <c r="I61" s="83">
        <v>3</v>
      </c>
      <c r="J61" s="1014">
        <v>0</v>
      </c>
      <c r="K61" s="1042">
        <v>0</v>
      </c>
      <c r="L61" s="1011">
        <f>SUM(I61:K61)</f>
        <v>3</v>
      </c>
      <c r="M61" s="422">
        <f>L61/F61*100</f>
        <v>60</v>
      </c>
      <c r="N61" s="423">
        <f>L61/G61*100</f>
        <v>120</v>
      </c>
      <c r="P61" s="3"/>
    </row>
    <row r="62" spans="1:16" ht="15" customHeight="1" x14ac:dyDescent="0.2">
      <c r="A62" s="1332"/>
      <c r="B62" s="1402"/>
      <c r="C62" s="647" t="s">
        <v>137</v>
      </c>
      <c r="D62" s="424">
        <v>103</v>
      </c>
      <c r="E62" s="420">
        <v>372</v>
      </c>
      <c r="F62" s="424">
        <v>400</v>
      </c>
      <c r="G62" s="81">
        <v>537.38</v>
      </c>
      <c r="H62" s="844">
        <v>537.38</v>
      </c>
      <c r="I62" s="83">
        <v>582</v>
      </c>
      <c r="J62" s="1014">
        <v>68</v>
      </c>
      <c r="K62" s="1042">
        <v>34</v>
      </c>
      <c r="L62" s="1011">
        <f>SUM(I62:K62)</f>
        <v>684</v>
      </c>
      <c r="M62" s="422">
        <f>L62/F62*100</f>
        <v>171</v>
      </c>
      <c r="N62" s="423">
        <f>L62/G62*100</f>
        <v>127.28423089806095</v>
      </c>
      <c r="P62" s="3"/>
    </row>
    <row r="63" spans="1:16" ht="15" customHeight="1" x14ac:dyDescent="0.2">
      <c r="A63" s="1332"/>
      <c r="B63" s="1402"/>
      <c r="C63" s="638" t="s">
        <v>414</v>
      </c>
      <c r="D63" s="83">
        <v>325</v>
      </c>
      <c r="E63" s="82">
        <v>0</v>
      </c>
      <c r="F63" s="83">
        <v>190</v>
      </c>
      <c r="G63" s="81">
        <v>190</v>
      </c>
      <c r="H63" s="844">
        <v>0</v>
      </c>
      <c r="I63" s="83">
        <v>71</v>
      </c>
      <c r="J63" s="1014">
        <v>8</v>
      </c>
      <c r="K63" s="1042">
        <v>4</v>
      </c>
      <c r="L63" s="1011">
        <f t="shared" ref="L63" si="31">SUM(I63:K63)</f>
        <v>83</v>
      </c>
      <c r="M63" s="422">
        <f>L63/F63*100</f>
        <v>43.684210526315795</v>
      </c>
      <c r="N63" s="423">
        <f>L63/G63*100</f>
        <v>43.684210526315795</v>
      </c>
      <c r="P63" s="3"/>
    </row>
    <row r="64" spans="1:16" ht="15" customHeight="1" x14ac:dyDescent="0.2">
      <c r="A64" s="1332"/>
      <c r="B64" s="1402"/>
      <c r="C64" s="568" t="s">
        <v>376</v>
      </c>
      <c r="D64" s="424">
        <v>620</v>
      </c>
      <c r="E64" s="420">
        <v>1450</v>
      </c>
      <c r="F64" s="424">
        <v>1600</v>
      </c>
      <c r="G64" s="81">
        <v>1267</v>
      </c>
      <c r="H64" s="844">
        <v>1267</v>
      </c>
      <c r="I64" s="83">
        <v>1370</v>
      </c>
      <c r="J64" s="1014">
        <v>161</v>
      </c>
      <c r="K64" s="1042">
        <v>81</v>
      </c>
      <c r="L64" s="1011">
        <f>SUM(I64:K64)</f>
        <v>1612</v>
      </c>
      <c r="M64" s="422">
        <f>L64/F64*100</f>
        <v>100.75</v>
      </c>
      <c r="N64" s="423">
        <f>L64/G64*100</f>
        <v>127.22967640094711</v>
      </c>
      <c r="P64" s="3"/>
    </row>
    <row r="65" spans="1:16" s="509" customFormat="1" ht="47.25" customHeight="1" x14ac:dyDescent="0.2">
      <c r="A65" s="1331">
        <v>4376</v>
      </c>
      <c r="B65" s="1336" t="s">
        <v>174</v>
      </c>
      <c r="C65" s="1337"/>
      <c r="D65" s="537">
        <f>SUM(D66:D69)</f>
        <v>4115</v>
      </c>
      <c r="E65" s="538">
        <f t="shared" ref="E65:K65" si="32">SUM(E66:E69)</f>
        <v>3224.5</v>
      </c>
      <c r="F65" s="530">
        <f t="shared" si="32"/>
        <v>3860</v>
      </c>
      <c r="G65" s="540">
        <f t="shared" si="32"/>
        <v>3417</v>
      </c>
      <c r="H65" s="539">
        <f t="shared" si="32"/>
        <v>2098.4</v>
      </c>
      <c r="I65" s="953">
        <f t="shared" si="32"/>
        <v>2224</v>
      </c>
      <c r="J65" s="953">
        <f t="shared" si="32"/>
        <v>262</v>
      </c>
      <c r="K65" s="1037">
        <f t="shared" si="32"/>
        <v>131</v>
      </c>
      <c r="L65" s="962">
        <f>SUM(I65:K65)</f>
        <v>2617</v>
      </c>
      <c r="M65" s="534">
        <f t="shared" ref="M65:M70" si="33">L65/F65*100</f>
        <v>67.797927461139892</v>
      </c>
      <c r="N65" s="535">
        <f t="shared" ref="N65:N70" si="34">L65/G65*100</f>
        <v>76.587649985367278</v>
      </c>
      <c r="P65" s="3"/>
    </row>
    <row r="66" spans="1:16" ht="15" customHeight="1" x14ac:dyDescent="0.2">
      <c r="A66" s="1332"/>
      <c r="B66" s="1401" t="s">
        <v>96</v>
      </c>
      <c r="C66" s="647" t="s">
        <v>138</v>
      </c>
      <c r="D66" s="424">
        <v>50</v>
      </c>
      <c r="E66" s="420">
        <v>35</v>
      </c>
      <c r="F66" s="424">
        <v>40</v>
      </c>
      <c r="G66" s="81">
        <v>5</v>
      </c>
      <c r="H66" s="844">
        <v>5</v>
      </c>
      <c r="I66" s="83">
        <v>5</v>
      </c>
      <c r="J66" s="1014">
        <v>1</v>
      </c>
      <c r="K66" s="1042">
        <v>0</v>
      </c>
      <c r="L66" s="1011">
        <f>SUM(I66:K66)</f>
        <v>6</v>
      </c>
      <c r="M66" s="422">
        <f>L66/F66*100</f>
        <v>15</v>
      </c>
      <c r="N66" s="423">
        <f>L66/G66*100</f>
        <v>120</v>
      </c>
      <c r="P66" s="3"/>
    </row>
    <row r="67" spans="1:16" ht="15" customHeight="1" x14ac:dyDescent="0.2">
      <c r="A67" s="1332"/>
      <c r="B67" s="1402"/>
      <c r="C67" s="647" t="s">
        <v>137</v>
      </c>
      <c r="D67" s="424">
        <v>983</v>
      </c>
      <c r="E67" s="420">
        <v>991.2</v>
      </c>
      <c r="F67" s="424">
        <v>1100</v>
      </c>
      <c r="G67" s="81">
        <v>692</v>
      </c>
      <c r="H67" s="844">
        <v>692</v>
      </c>
      <c r="I67" s="83">
        <v>749</v>
      </c>
      <c r="J67" s="1014">
        <v>88</v>
      </c>
      <c r="K67" s="1042">
        <v>44</v>
      </c>
      <c r="L67" s="1011">
        <f>SUM(I67:K67)</f>
        <v>881</v>
      </c>
      <c r="M67" s="422">
        <f>L67/F67*100</f>
        <v>80.090909090909093</v>
      </c>
      <c r="N67" s="423">
        <f>L67/G67*100</f>
        <v>127.3121387283237</v>
      </c>
      <c r="P67" s="3"/>
    </row>
    <row r="68" spans="1:16" ht="15" customHeight="1" x14ac:dyDescent="0.2">
      <c r="A68" s="1332"/>
      <c r="B68" s="1402"/>
      <c r="C68" s="638" t="s">
        <v>414</v>
      </c>
      <c r="D68" s="83">
        <v>382</v>
      </c>
      <c r="E68" s="82">
        <v>0</v>
      </c>
      <c r="F68" s="83">
        <v>220</v>
      </c>
      <c r="G68" s="81">
        <v>220</v>
      </c>
      <c r="H68" s="844">
        <v>117.9</v>
      </c>
      <c r="I68" s="83">
        <v>82</v>
      </c>
      <c r="J68" s="1014">
        <v>10</v>
      </c>
      <c r="K68" s="1042">
        <v>5</v>
      </c>
      <c r="L68" s="1011">
        <f t="shared" ref="L68" si="35">SUM(I68:K68)</f>
        <v>97</v>
      </c>
      <c r="M68" s="422">
        <f>L68/F68*100</f>
        <v>44.090909090909093</v>
      </c>
      <c r="N68" s="423">
        <f>L68/G68*100</f>
        <v>44.090909090909093</v>
      </c>
      <c r="P68" s="3"/>
    </row>
    <row r="69" spans="1:16" ht="15" customHeight="1" x14ac:dyDescent="0.2">
      <c r="A69" s="1332"/>
      <c r="B69" s="1402"/>
      <c r="C69" s="568" t="s">
        <v>376</v>
      </c>
      <c r="D69" s="424">
        <v>2700</v>
      </c>
      <c r="E69" s="420">
        <v>2198.3000000000002</v>
      </c>
      <c r="F69" s="424">
        <v>2500</v>
      </c>
      <c r="G69" s="81">
        <v>2500</v>
      </c>
      <c r="H69" s="844">
        <v>1283.5</v>
      </c>
      <c r="I69" s="83">
        <v>1388</v>
      </c>
      <c r="J69" s="1014">
        <v>163</v>
      </c>
      <c r="K69" s="1042">
        <v>82</v>
      </c>
      <c r="L69" s="1011">
        <f>SUM(I69:K69)</f>
        <v>1633</v>
      </c>
      <c r="M69" s="422">
        <f>L69/F69*100</f>
        <v>65.319999999999993</v>
      </c>
      <c r="N69" s="423">
        <f>L69/G69*100</f>
        <v>65.319999999999993</v>
      </c>
      <c r="P69" s="3"/>
    </row>
    <row r="70" spans="1:16" s="509" customFormat="1" ht="30" customHeight="1" x14ac:dyDescent="0.2">
      <c r="A70" s="1331">
        <v>4377</v>
      </c>
      <c r="B70" s="1336" t="s">
        <v>175</v>
      </c>
      <c r="C70" s="1337"/>
      <c r="D70" s="530">
        <f>SUM(D71:D74)</f>
        <v>1866</v>
      </c>
      <c r="E70" s="539">
        <f t="shared" ref="E70:K70" si="36">SUM(E71:E74)</f>
        <v>1712.5</v>
      </c>
      <c r="F70" s="530">
        <f t="shared" si="36"/>
        <v>2230</v>
      </c>
      <c r="G70" s="540">
        <f t="shared" si="36"/>
        <v>1798.77</v>
      </c>
      <c r="H70" s="539">
        <f t="shared" si="36"/>
        <v>1523.07</v>
      </c>
      <c r="I70" s="953">
        <f t="shared" si="36"/>
        <v>1712</v>
      </c>
      <c r="J70" s="953">
        <f t="shared" si="36"/>
        <v>202</v>
      </c>
      <c r="K70" s="1037">
        <f t="shared" si="36"/>
        <v>99</v>
      </c>
      <c r="L70" s="962">
        <f>SUM(I70:K70)</f>
        <v>2013</v>
      </c>
      <c r="M70" s="534">
        <f t="shared" si="33"/>
        <v>90.269058295964129</v>
      </c>
      <c r="N70" s="535">
        <f t="shared" si="34"/>
        <v>111.90980503343953</v>
      </c>
      <c r="P70" s="3"/>
    </row>
    <row r="71" spans="1:16" ht="15" customHeight="1" x14ac:dyDescent="0.2">
      <c r="A71" s="1332"/>
      <c r="B71" s="1401" t="s">
        <v>96</v>
      </c>
      <c r="C71" s="647" t="s">
        <v>138</v>
      </c>
      <c r="D71" s="424">
        <v>0</v>
      </c>
      <c r="E71" s="420">
        <v>0</v>
      </c>
      <c r="F71" s="424">
        <v>0</v>
      </c>
      <c r="G71" s="81">
        <v>0</v>
      </c>
      <c r="H71" s="844">
        <v>0</v>
      </c>
      <c r="I71" s="83">
        <v>0</v>
      </c>
      <c r="J71" s="1014">
        <v>0</v>
      </c>
      <c r="K71" s="1042">
        <v>0</v>
      </c>
      <c r="L71" s="1011">
        <f>SUM(I71:K71)</f>
        <v>0</v>
      </c>
      <c r="M71" s="422" t="s">
        <v>60</v>
      </c>
      <c r="N71" s="423" t="s">
        <v>60</v>
      </c>
      <c r="P71" s="3"/>
    </row>
    <row r="72" spans="1:16" ht="15" customHeight="1" x14ac:dyDescent="0.2">
      <c r="A72" s="1332"/>
      <c r="B72" s="1402"/>
      <c r="C72" s="647" t="s">
        <v>137</v>
      </c>
      <c r="D72" s="424">
        <v>702</v>
      </c>
      <c r="E72" s="420">
        <v>550</v>
      </c>
      <c r="F72" s="424">
        <v>600</v>
      </c>
      <c r="G72" s="81">
        <v>600</v>
      </c>
      <c r="H72" s="844">
        <v>600</v>
      </c>
      <c r="I72" s="83">
        <v>649</v>
      </c>
      <c r="J72" s="1014">
        <v>76</v>
      </c>
      <c r="K72" s="1042">
        <v>38</v>
      </c>
      <c r="L72" s="1011">
        <f>SUM(I72:K72)</f>
        <v>763</v>
      </c>
      <c r="M72" s="422">
        <f>L72/F72*100</f>
        <v>127.16666666666667</v>
      </c>
      <c r="N72" s="423">
        <f>L72/G72*100</f>
        <v>127.16666666666667</v>
      </c>
      <c r="P72" s="3"/>
    </row>
    <row r="73" spans="1:16" ht="15" customHeight="1" x14ac:dyDescent="0.2">
      <c r="A73" s="1332"/>
      <c r="B73" s="1402"/>
      <c r="C73" s="638" t="s">
        <v>414</v>
      </c>
      <c r="D73" s="83">
        <v>564</v>
      </c>
      <c r="E73" s="82">
        <v>0</v>
      </c>
      <c r="F73" s="83">
        <v>330</v>
      </c>
      <c r="G73" s="81">
        <v>330</v>
      </c>
      <c r="H73" s="844">
        <v>54.3</v>
      </c>
      <c r="I73" s="83">
        <v>123</v>
      </c>
      <c r="J73" s="1014">
        <v>15</v>
      </c>
      <c r="K73" s="1042">
        <v>7</v>
      </c>
      <c r="L73" s="1011">
        <f t="shared" ref="L73" si="37">SUM(I73:K73)</f>
        <v>145</v>
      </c>
      <c r="M73" s="422">
        <f t="shared" ref="M73" si="38">L73/F73*100</f>
        <v>43.939393939393938</v>
      </c>
      <c r="N73" s="423">
        <f t="shared" ref="N73" si="39">L73/G73*100</f>
        <v>43.939393939393938</v>
      </c>
      <c r="P73" s="3"/>
    </row>
    <row r="74" spans="1:16" ht="15" customHeight="1" x14ac:dyDescent="0.2">
      <c r="A74" s="1332"/>
      <c r="B74" s="1402"/>
      <c r="C74" s="568" t="s">
        <v>376</v>
      </c>
      <c r="D74" s="424">
        <v>600</v>
      </c>
      <c r="E74" s="420">
        <v>1162.5</v>
      </c>
      <c r="F74" s="424">
        <v>1300</v>
      </c>
      <c r="G74" s="81">
        <v>868.77</v>
      </c>
      <c r="H74" s="844">
        <v>868.77</v>
      </c>
      <c r="I74" s="83">
        <v>940</v>
      </c>
      <c r="J74" s="1014">
        <v>111</v>
      </c>
      <c r="K74" s="1042">
        <v>54</v>
      </c>
      <c r="L74" s="1011">
        <f>SUM(I74:K74)</f>
        <v>1105</v>
      </c>
      <c r="M74" s="422">
        <f>L74/F74*100</f>
        <v>85</v>
      </c>
      <c r="N74" s="423">
        <f>L74/G74*100</f>
        <v>127.19131645890167</v>
      </c>
      <c r="P74" s="3"/>
    </row>
    <row r="75" spans="1:16" s="509" customFormat="1" ht="31.5" customHeight="1" x14ac:dyDescent="0.2">
      <c r="A75" s="1331">
        <v>4378</v>
      </c>
      <c r="B75" s="1336" t="s">
        <v>176</v>
      </c>
      <c r="C75" s="1337"/>
      <c r="D75" s="530">
        <f>SUM(D76:D79)</f>
        <v>822</v>
      </c>
      <c r="E75" s="539">
        <f t="shared" ref="E75:K75" si="40">SUM(E76:E79)</f>
        <v>801</v>
      </c>
      <c r="F75" s="530">
        <f t="shared" si="40"/>
        <v>915</v>
      </c>
      <c r="G75" s="540">
        <f t="shared" si="40"/>
        <v>384</v>
      </c>
      <c r="H75" s="539">
        <f t="shared" si="40"/>
        <v>369</v>
      </c>
      <c r="I75" s="953">
        <f t="shared" si="40"/>
        <v>406</v>
      </c>
      <c r="J75" s="953">
        <f t="shared" si="40"/>
        <v>48</v>
      </c>
      <c r="K75" s="1037">
        <f t="shared" si="40"/>
        <v>23</v>
      </c>
      <c r="L75" s="962">
        <f>SUM(I75:K75)</f>
        <v>477</v>
      </c>
      <c r="M75" s="534">
        <f t="shared" ref="M75:M93" si="41">L75/F75*100</f>
        <v>52.131147540983605</v>
      </c>
      <c r="N75" s="535">
        <f t="shared" ref="N75:N80" si="42">L75/G75*100</f>
        <v>124.21875</v>
      </c>
      <c r="P75" s="3"/>
    </row>
    <row r="76" spans="1:16" ht="15" customHeight="1" x14ac:dyDescent="0.2">
      <c r="A76" s="1332"/>
      <c r="B76" s="1401" t="s">
        <v>96</v>
      </c>
      <c r="C76" s="647" t="s">
        <v>138</v>
      </c>
      <c r="D76" s="424">
        <v>50</v>
      </c>
      <c r="E76" s="420">
        <v>45</v>
      </c>
      <c r="F76" s="424">
        <v>50</v>
      </c>
      <c r="G76" s="81">
        <v>2</v>
      </c>
      <c r="H76" s="844">
        <v>2</v>
      </c>
      <c r="I76" s="83">
        <v>3</v>
      </c>
      <c r="J76" s="1014">
        <v>0</v>
      </c>
      <c r="K76" s="1042">
        <v>0</v>
      </c>
      <c r="L76" s="1011">
        <f>SUM(I76:K76)</f>
        <v>3</v>
      </c>
      <c r="M76" s="422">
        <f>L76/F76*100</f>
        <v>6</v>
      </c>
      <c r="N76" s="423">
        <f>L76/G76*100</f>
        <v>150</v>
      </c>
      <c r="P76" s="3"/>
    </row>
    <row r="77" spans="1:16" ht="15" customHeight="1" x14ac:dyDescent="0.2">
      <c r="A77" s="1332"/>
      <c r="B77" s="1402"/>
      <c r="C77" s="647" t="s">
        <v>137</v>
      </c>
      <c r="D77" s="424">
        <v>245</v>
      </c>
      <c r="E77" s="420">
        <v>348</v>
      </c>
      <c r="F77" s="424">
        <v>400</v>
      </c>
      <c r="G77" s="81">
        <v>150</v>
      </c>
      <c r="H77" s="844">
        <v>150</v>
      </c>
      <c r="I77" s="83">
        <v>162</v>
      </c>
      <c r="J77" s="1014">
        <v>19</v>
      </c>
      <c r="K77" s="1042">
        <v>10</v>
      </c>
      <c r="L77" s="1011">
        <f>SUM(I77:K77)</f>
        <v>191</v>
      </c>
      <c r="M77" s="422">
        <f>L77/F77*100</f>
        <v>47.75</v>
      </c>
      <c r="N77" s="423">
        <f>L77/G77*100</f>
        <v>127.33333333333334</v>
      </c>
      <c r="P77" s="3"/>
    </row>
    <row r="78" spans="1:16" ht="15" customHeight="1" x14ac:dyDescent="0.2">
      <c r="A78" s="1332"/>
      <c r="B78" s="1402"/>
      <c r="C78" s="638" t="s">
        <v>414</v>
      </c>
      <c r="D78" s="83">
        <v>27</v>
      </c>
      <c r="E78" s="82">
        <v>0</v>
      </c>
      <c r="F78" s="83">
        <v>15</v>
      </c>
      <c r="G78" s="81">
        <v>15</v>
      </c>
      <c r="H78" s="844">
        <v>0</v>
      </c>
      <c r="I78" s="83">
        <v>6</v>
      </c>
      <c r="J78" s="1014">
        <v>1</v>
      </c>
      <c r="K78" s="1042">
        <v>0</v>
      </c>
      <c r="L78" s="1011">
        <f t="shared" ref="L78" si="43">SUM(I78:K78)</f>
        <v>7</v>
      </c>
      <c r="M78" s="422">
        <f>L78/F78*100</f>
        <v>46.666666666666664</v>
      </c>
      <c r="N78" s="423">
        <f>L78/G78*100</f>
        <v>46.666666666666664</v>
      </c>
      <c r="P78" s="3"/>
    </row>
    <row r="79" spans="1:16" ht="15" customHeight="1" x14ac:dyDescent="0.2">
      <c r="A79" s="1332"/>
      <c r="B79" s="1402"/>
      <c r="C79" s="568" t="s">
        <v>376</v>
      </c>
      <c r="D79" s="424">
        <v>500</v>
      </c>
      <c r="E79" s="420">
        <v>408</v>
      </c>
      <c r="F79" s="424">
        <v>450</v>
      </c>
      <c r="G79" s="81">
        <v>217</v>
      </c>
      <c r="H79" s="844">
        <v>217</v>
      </c>
      <c r="I79" s="83">
        <v>235</v>
      </c>
      <c r="J79" s="1014">
        <v>28</v>
      </c>
      <c r="K79" s="1042">
        <v>13</v>
      </c>
      <c r="L79" s="1011">
        <f>SUM(I79:K79)</f>
        <v>276</v>
      </c>
      <c r="M79" s="422">
        <f>L79/F79*100</f>
        <v>61.333333333333329</v>
      </c>
      <c r="N79" s="423">
        <f>L79/G79*100</f>
        <v>127.18894009216591</v>
      </c>
      <c r="P79" s="3"/>
    </row>
    <row r="80" spans="1:16" s="509" customFormat="1" ht="48" customHeight="1" x14ac:dyDescent="0.2">
      <c r="A80" s="1331">
        <v>4379</v>
      </c>
      <c r="B80" s="1336" t="s">
        <v>177</v>
      </c>
      <c r="C80" s="1337"/>
      <c r="D80" s="530">
        <f>SUM(D81:D84)</f>
        <v>2650</v>
      </c>
      <c r="E80" s="540">
        <f t="shared" ref="E80:K80" si="44">SUM(E81:E84)</f>
        <v>1107.33</v>
      </c>
      <c r="F80" s="530">
        <f t="shared" si="44"/>
        <v>1350</v>
      </c>
      <c r="G80" s="540">
        <f t="shared" si="44"/>
        <v>1093.8499999999999</v>
      </c>
      <c r="H80" s="539">
        <f t="shared" si="44"/>
        <v>988.84999999999991</v>
      </c>
      <c r="I80" s="953">
        <f t="shared" si="44"/>
        <v>1109</v>
      </c>
      <c r="J80" s="953">
        <f t="shared" si="44"/>
        <v>131</v>
      </c>
      <c r="K80" s="1037">
        <f t="shared" si="44"/>
        <v>65</v>
      </c>
      <c r="L80" s="962">
        <f>SUM(I80:K80)</f>
        <v>1305</v>
      </c>
      <c r="M80" s="534">
        <f t="shared" si="41"/>
        <v>96.666666666666671</v>
      </c>
      <c r="N80" s="535">
        <f t="shared" si="42"/>
        <v>119.30337797687069</v>
      </c>
      <c r="P80" s="3"/>
    </row>
    <row r="81" spans="1:16" ht="15" customHeight="1" x14ac:dyDescent="0.2">
      <c r="A81" s="1332"/>
      <c r="B81" s="1401" t="s">
        <v>96</v>
      </c>
      <c r="C81" s="647" t="s">
        <v>138</v>
      </c>
      <c r="D81" s="424">
        <v>50</v>
      </c>
      <c r="E81" s="420">
        <v>5</v>
      </c>
      <c r="F81" s="424">
        <v>5</v>
      </c>
      <c r="G81" s="81">
        <v>4.1500000000000004</v>
      </c>
      <c r="H81" s="844">
        <v>4.1500000000000004</v>
      </c>
      <c r="I81" s="83">
        <v>4</v>
      </c>
      <c r="J81" s="1014">
        <v>1</v>
      </c>
      <c r="K81" s="1042">
        <v>1</v>
      </c>
      <c r="L81" s="1011">
        <f>SUM(I81:K81)</f>
        <v>6</v>
      </c>
      <c r="M81" s="422">
        <f>L81/F81*100</f>
        <v>120</v>
      </c>
      <c r="N81" s="423">
        <f>L81/G81*100</f>
        <v>144.57831325301203</v>
      </c>
      <c r="P81" s="3"/>
    </row>
    <row r="82" spans="1:16" ht="15" customHeight="1" x14ac:dyDescent="0.2">
      <c r="A82" s="1332"/>
      <c r="B82" s="1402"/>
      <c r="C82" s="647" t="s">
        <v>137</v>
      </c>
      <c r="D82" s="424">
        <v>668</v>
      </c>
      <c r="E82" s="420">
        <v>214.33</v>
      </c>
      <c r="F82" s="424">
        <v>240</v>
      </c>
      <c r="G82" s="81">
        <v>301.7</v>
      </c>
      <c r="H82" s="844">
        <v>301.7</v>
      </c>
      <c r="I82" s="83">
        <v>327</v>
      </c>
      <c r="J82" s="1014">
        <v>38</v>
      </c>
      <c r="K82" s="1042">
        <v>19</v>
      </c>
      <c r="L82" s="1011">
        <f>SUM(I82:K82)</f>
        <v>384</v>
      </c>
      <c r="M82" s="422">
        <f>L82/F82*100</f>
        <v>160</v>
      </c>
      <c r="N82" s="423">
        <f>L82/G82*100</f>
        <v>127.27875372886975</v>
      </c>
      <c r="P82" s="3"/>
    </row>
    <row r="83" spans="1:16" ht="15" customHeight="1" x14ac:dyDescent="0.2">
      <c r="A83" s="1332"/>
      <c r="B83" s="1402"/>
      <c r="C83" s="638" t="s">
        <v>414</v>
      </c>
      <c r="D83" s="83">
        <v>182</v>
      </c>
      <c r="E83" s="82">
        <v>0</v>
      </c>
      <c r="F83" s="83">
        <v>105</v>
      </c>
      <c r="G83" s="81">
        <v>105</v>
      </c>
      <c r="H83" s="844">
        <v>0</v>
      </c>
      <c r="I83" s="83">
        <v>39</v>
      </c>
      <c r="J83" s="1014">
        <v>5</v>
      </c>
      <c r="K83" s="1042">
        <v>2</v>
      </c>
      <c r="L83" s="1011">
        <f t="shared" ref="L83" si="45">SUM(I83:K83)</f>
        <v>46</v>
      </c>
      <c r="M83" s="422">
        <f>L83/F83*100</f>
        <v>43.80952380952381</v>
      </c>
      <c r="N83" s="423">
        <f>L83/G83*100</f>
        <v>43.80952380952381</v>
      </c>
      <c r="P83" s="3"/>
    </row>
    <row r="84" spans="1:16" ht="15" customHeight="1" x14ac:dyDescent="0.2">
      <c r="A84" s="1332"/>
      <c r="B84" s="1402"/>
      <c r="C84" s="568" t="s">
        <v>376</v>
      </c>
      <c r="D84" s="424">
        <v>1750</v>
      </c>
      <c r="E84" s="420">
        <v>888</v>
      </c>
      <c r="F84" s="424">
        <v>1000</v>
      </c>
      <c r="G84" s="81">
        <v>683</v>
      </c>
      <c r="H84" s="844">
        <v>683</v>
      </c>
      <c r="I84" s="83">
        <v>739</v>
      </c>
      <c r="J84" s="1014">
        <v>87</v>
      </c>
      <c r="K84" s="1042">
        <v>43</v>
      </c>
      <c r="L84" s="1011">
        <f>SUM(I84:K84)</f>
        <v>869</v>
      </c>
      <c r="M84" s="422">
        <f>L84/F84*100</f>
        <v>86.9</v>
      </c>
      <c r="N84" s="423">
        <f>L84/G84*100</f>
        <v>127.23279648609078</v>
      </c>
      <c r="P84" s="3"/>
    </row>
    <row r="85" spans="1:16" s="509" customFormat="1" ht="30.75" customHeight="1" x14ac:dyDescent="0.2">
      <c r="A85" s="1410" t="s">
        <v>291</v>
      </c>
      <c r="B85" s="1411"/>
      <c r="C85" s="1412"/>
      <c r="D85" s="532">
        <f>SUM(D88:D92)</f>
        <v>0</v>
      </c>
      <c r="E85" s="533">
        <f>SUM(E88:E92)</f>
        <v>6140.4</v>
      </c>
      <c r="F85" s="532">
        <f>SUM(F86:F92)</f>
        <v>0</v>
      </c>
      <c r="G85" s="533">
        <f>SUM(G86:G92)</f>
        <v>10957.2</v>
      </c>
      <c r="H85" s="531">
        <f>SUM(H86:H92)</f>
        <v>10957.2</v>
      </c>
      <c r="I85" s="954">
        <f>SUM(I88:I92)</f>
        <v>0</v>
      </c>
      <c r="J85" s="954">
        <f>SUM(J88:J92)</f>
        <v>0</v>
      </c>
      <c r="K85" s="1043">
        <f>SUM(K88:K92)</f>
        <v>0</v>
      </c>
      <c r="L85" s="962">
        <f>SUM(I85:K85)</f>
        <v>0</v>
      </c>
      <c r="M85" s="534" t="s">
        <v>60</v>
      </c>
      <c r="N85" s="535">
        <f t="shared" ref="N85:N92" si="46">L85/G85*100</f>
        <v>0</v>
      </c>
      <c r="P85" s="3"/>
    </row>
    <row r="86" spans="1:16" s="20" customFormat="1" ht="20.100000000000001" customHeight="1" x14ac:dyDescent="0.25">
      <c r="A86" s="622">
        <v>4312</v>
      </c>
      <c r="B86" s="1346" t="s">
        <v>526</v>
      </c>
      <c r="C86" s="1347"/>
      <c r="D86" s="466">
        <v>0</v>
      </c>
      <c r="E86" s="465">
        <v>0</v>
      </c>
      <c r="F86" s="466">
        <v>0</v>
      </c>
      <c r="G86" s="467">
        <v>1418.25</v>
      </c>
      <c r="H86" s="465">
        <v>1418.25</v>
      </c>
      <c r="I86" s="1044">
        <v>0</v>
      </c>
      <c r="J86" s="1044">
        <v>0</v>
      </c>
      <c r="K86" s="1045">
        <v>0</v>
      </c>
      <c r="L86" s="1046">
        <f t="shared" ref="L86:L87" si="47">SUM(I86:K86)</f>
        <v>0</v>
      </c>
      <c r="M86" s="468" t="s">
        <v>60</v>
      </c>
      <c r="N86" s="469">
        <f t="shared" ref="N86:N87" si="48">L86/G86*100</f>
        <v>0</v>
      </c>
      <c r="P86" s="3"/>
    </row>
    <row r="87" spans="1:16" s="20" customFormat="1" ht="20.100000000000001" customHeight="1" x14ac:dyDescent="0.25">
      <c r="A87" s="622">
        <v>4324</v>
      </c>
      <c r="B87" s="1346" t="s">
        <v>527</v>
      </c>
      <c r="C87" s="1347"/>
      <c r="D87" s="466">
        <v>0</v>
      </c>
      <c r="E87" s="465">
        <v>0</v>
      </c>
      <c r="F87" s="466">
        <v>0</v>
      </c>
      <c r="G87" s="467">
        <v>720</v>
      </c>
      <c r="H87" s="465">
        <v>720</v>
      </c>
      <c r="I87" s="1044">
        <v>0</v>
      </c>
      <c r="J87" s="1044">
        <v>0</v>
      </c>
      <c r="K87" s="1045">
        <v>0</v>
      </c>
      <c r="L87" s="1046">
        <f t="shared" si="47"/>
        <v>0</v>
      </c>
      <c r="M87" s="468" t="s">
        <v>60</v>
      </c>
      <c r="N87" s="469">
        <f t="shared" si="48"/>
        <v>0</v>
      </c>
      <c r="P87" s="3"/>
    </row>
    <row r="88" spans="1:16" s="20" customFormat="1" ht="27.75" customHeight="1" x14ac:dyDescent="0.25">
      <c r="A88" s="622">
        <v>4351</v>
      </c>
      <c r="B88" s="1346" t="s">
        <v>442</v>
      </c>
      <c r="C88" s="1347"/>
      <c r="D88" s="466">
        <v>0</v>
      </c>
      <c r="E88" s="465">
        <v>655</v>
      </c>
      <c r="F88" s="466">
        <v>0</v>
      </c>
      <c r="G88" s="467">
        <v>1475.2</v>
      </c>
      <c r="H88" s="465">
        <v>1475.2</v>
      </c>
      <c r="I88" s="1044">
        <v>0</v>
      </c>
      <c r="J88" s="1044">
        <v>0</v>
      </c>
      <c r="K88" s="1045">
        <v>0</v>
      </c>
      <c r="L88" s="1046">
        <f>SUM(I88:K88)</f>
        <v>0</v>
      </c>
      <c r="M88" s="468" t="s">
        <v>60</v>
      </c>
      <c r="N88" s="469">
        <f t="shared" si="46"/>
        <v>0</v>
      </c>
      <c r="P88" s="3"/>
    </row>
    <row r="89" spans="1:16" s="20" customFormat="1" ht="20.100000000000001" customHeight="1" x14ac:dyDescent="0.25">
      <c r="A89" s="622">
        <v>4354</v>
      </c>
      <c r="B89" s="1346" t="s">
        <v>290</v>
      </c>
      <c r="C89" s="1347"/>
      <c r="D89" s="466">
        <v>0</v>
      </c>
      <c r="E89" s="465">
        <v>0</v>
      </c>
      <c r="F89" s="466">
        <v>0</v>
      </c>
      <c r="G89" s="467">
        <v>660</v>
      </c>
      <c r="H89" s="465">
        <v>660</v>
      </c>
      <c r="I89" s="1044">
        <v>0</v>
      </c>
      <c r="J89" s="1044">
        <v>0</v>
      </c>
      <c r="K89" s="1045">
        <v>0</v>
      </c>
      <c r="L89" s="1046">
        <f t="shared" ref="L89:L90" si="49">SUM(I89:K89)</f>
        <v>0</v>
      </c>
      <c r="M89" s="468" t="s">
        <v>60</v>
      </c>
      <c r="N89" s="469">
        <f t="shared" si="46"/>
        <v>0</v>
      </c>
      <c r="P89" s="3"/>
    </row>
    <row r="90" spans="1:16" s="20" customFormat="1" ht="27.75" customHeight="1" x14ac:dyDescent="0.25">
      <c r="A90" s="622">
        <v>4357</v>
      </c>
      <c r="B90" s="1346" t="s">
        <v>194</v>
      </c>
      <c r="C90" s="1347"/>
      <c r="D90" s="466">
        <v>0</v>
      </c>
      <c r="E90" s="465">
        <v>1671</v>
      </c>
      <c r="F90" s="466">
        <v>0</v>
      </c>
      <c r="G90" s="467">
        <v>0</v>
      </c>
      <c r="H90" s="465">
        <v>0</v>
      </c>
      <c r="I90" s="1044">
        <v>0</v>
      </c>
      <c r="J90" s="1044">
        <v>0</v>
      </c>
      <c r="K90" s="1045">
        <v>0</v>
      </c>
      <c r="L90" s="1046">
        <f t="shared" si="49"/>
        <v>0</v>
      </c>
      <c r="M90" s="468" t="s">
        <v>60</v>
      </c>
      <c r="N90" s="469" t="s">
        <v>60</v>
      </c>
      <c r="P90" s="3"/>
    </row>
    <row r="91" spans="1:16" s="20" customFormat="1" ht="20.100000000000001" customHeight="1" x14ac:dyDescent="0.25">
      <c r="A91" s="622">
        <v>4359</v>
      </c>
      <c r="B91" s="1346" t="s">
        <v>477</v>
      </c>
      <c r="C91" s="1347"/>
      <c r="D91" s="466">
        <v>0</v>
      </c>
      <c r="E91" s="465">
        <v>234.5</v>
      </c>
      <c r="F91" s="466">
        <v>0</v>
      </c>
      <c r="G91" s="467">
        <v>6334.75</v>
      </c>
      <c r="H91" s="465">
        <v>6334.75</v>
      </c>
      <c r="I91" s="1044">
        <v>0</v>
      </c>
      <c r="J91" s="1044">
        <v>0</v>
      </c>
      <c r="K91" s="1045">
        <v>0</v>
      </c>
      <c r="L91" s="1046">
        <f>SUM(I91:K91)</f>
        <v>0</v>
      </c>
      <c r="M91" s="468" t="s">
        <v>60</v>
      </c>
      <c r="N91" s="469">
        <f t="shared" ref="N91" si="50">L91/G91*100</f>
        <v>0</v>
      </c>
      <c r="P91" s="3"/>
    </row>
    <row r="92" spans="1:16" s="20" customFormat="1" ht="30" customHeight="1" x14ac:dyDescent="0.25">
      <c r="A92" s="622">
        <v>4399</v>
      </c>
      <c r="B92" s="1346" t="s">
        <v>178</v>
      </c>
      <c r="C92" s="1347"/>
      <c r="D92" s="466">
        <v>0</v>
      </c>
      <c r="E92" s="465">
        <v>3579.9</v>
      </c>
      <c r="F92" s="466">
        <v>0</v>
      </c>
      <c r="G92" s="467">
        <v>349</v>
      </c>
      <c r="H92" s="465">
        <v>349</v>
      </c>
      <c r="I92" s="1044">
        <v>0</v>
      </c>
      <c r="J92" s="1044">
        <v>0</v>
      </c>
      <c r="K92" s="1045">
        <v>0</v>
      </c>
      <c r="L92" s="1046">
        <f>SUM(I92:K92)</f>
        <v>0</v>
      </c>
      <c r="M92" s="468" t="s">
        <v>60</v>
      </c>
      <c r="N92" s="469">
        <f t="shared" si="46"/>
        <v>0</v>
      </c>
      <c r="P92" s="3"/>
    </row>
    <row r="93" spans="1:16" s="509" customFormat="1" ht="33.75" customHeight="1" x14ac:dyDescent="0.2">
      <c r="A93" s="782">
        <v>4399</v>
      </c>
      <c r="B93" s="1336" t="s">
        <v>178</v>
      </c>
      <c r="C93" s="1337"/>
      <c r="D93" s="530">
        <v>20925</v>
      </c>
      <c r="E93" s="539">
        <v>888.5</v>
      </c>
      <c r="F93" s="530">
        <v>10300</v>
      </c>
      <c r="G93" s="457">
        <v>10412.56</v>
      </c>
      <c r="H93" s="458">
        <v>449.15</v>
      </c>
      <c r="I93" s="834">
        <v>8950</v>
      </c>
      <c r="J93" s="834">
        <v>850</v>
      </c>
      <c r="K93" s="834">
        <v>500</v>
      </c>
      <c r="L93" s="962">
        <f t="shared" si="4"/>
        <v>10300</v>
      </c>
      <c r="M93" s="534">
        <f t="shared" si="41"/>
        <v>100</v>
      </c>
      <c r="N93" s="535">
        <f t="shared" ref="N93:N98" si="51">L93/G93*100</f>
        <v>98.918997825702817</v>
      </c>
      <c r="P93" s="3"/>
    </row>
    <row r="94" spans="1:16" s="509" customFormat="1" ht="32.25" customHeight="1" x14ac:dyDescent="0.2">
      <c r="A94" s="495">
        <v>4399</v>
      </c>
      <c r="B94" s="1415" t="s">
        <v>179</v>
      </c>
      <c r="C94" s="1337"/>
      <c r="D94" s="532">
        <v>2500</v>
      </c>
      <c r="E94" s="531">
        <v>1594.1</v>
      </c>
      <c r="F94" s="532">
        <v>3500</v>
      </c>
      <c r="G94" s="479">
        <v>3500</v>
      </c>
      <c r="H94" s="486">
        <v>2534.5</v>
      </c>
      <c r="I94" s="1023">
        <v>3500</v>
      </c>
      <c r="J94" s="1023">
        <v>0</v>
      </c>
      <c r="K94" s="1024">
        <v>0</v>
      </c>
      <c r="L94" s="962">
        <f t="shared" si="4"/>
        <v>3500</v>
      </c>
      <c r="M94" s="534">
        <f>L94/F94*100</f>
        <v>100</v>
      </c>
      <c r="N94" s="535">
        <f t="shared" si="51"/>
        <v>100</v>
      </c>
      <c r="P94" s="3"/>
    </row>
    <row r="95" spans="1:16" s="509" customFormat="1" ht="32.25" customHeight="1" x14ac:dyDescent="0.2">
      <c r="A95" s="495">
        <v>4399</v>
      </c>
      <c r="B95" s="1415" t="s">
        <v>379</v>
      </c>
      <c r="C95" s="1337"/>
      <c r="D95" s="532">
        <v>3650</v>
      </c>
      <c r="E95" s="531">
        <v>3627.12</v>
      </c>
      <c r="F95" s="532">
        <v>3630</v>
      </c>
      <c r="G95" s="479">
        <v>3630</v>
      </c>
      <c r="H95" s="486">
        <v>1498.73</v>
      </c>
      <c r="I95" s="954">
        <v>3630</v>
      </c>
      <c r="J95" s="954">
        <v>0</v>
      </c>
      <c r="K95" s="1043">
        <v>0</v>
      </c>
      <c r="L95" s="962">
        <f t="shared" ref="L95:L96" si="52">SUM(I95:K95)</f>
        <v>3630</v>
      </c>
      <c r="M95" s="534">
        <f t="shared" ref="M95:M96" si="53">L95/F95*100</f>
        <v>100</v>
      </c>
      <c r="N95" s="535">
        <f t="shared" si="51"/>
        <v>100</v>
      </c>
      <c r="P95" s="3"/>
    </row>
    <row r="96" spans="1:16" s="509" customFormat="1" ht="32.25" customHeight="1" x14ac:dyDescent="0.2">
      <c r="A96" s="495">
        <v>4399</v>
      </c>
      <c r="B96" s="1415" t="s">
        <v>433</v>
      </c>
      <c r="C96" s="1337"/>
      <c r="D96" s="532">
        <v>50</v>
      </c>
      <c r="E96" s="531">
        <v>0</v>
      </c>
      <c r="F96" s="532">
        <v>50</v>
      </c>
      <c r="G96" s="479">
        <v>50</v>
      </c>
      <c r="H96" s="486">
        <v>0</v>
      </c>
      <c r="I96" s="954">
        <v>50</v>
      </c>
      <c r="J96" s="954">
        <v>0</v>
      </c>
      <c r="K96" s="1043">
        <v>0</v>
      </c>
      <c r="L96" s="962">
        <f t="shared" si="52"/>
        <v>50</v>
      </c>
      <c r="M96" s="534">
        <f t="shared" si="53"/>
        <v>100</v>
      </c>
      <c r="N96" s="535">
        <f t="shared" si="51"/>
        <v>100</v>
      </c>
      <c r="P96" s="3"/>
    </row>
    <row r="97" spans="1:16" s="509" customFormat="1" ht="32.25" customHeight="1" x14ac:dyDescent="0.2">
      <c r="A97" s="495">
        <v>4399</v>
      </c>
      <c r="B97" s="1415" t="s">
        <v>533</v>
      </c>
      <c r="C97" s="1337"/>
      <c r="D97" s="532">
        <v>0</v>
      </c>
      <c r="E97" s="531">
        <v>0</v>
      </c>
      <c r="F97" s="532">
        <v>0</v>
      </c>
      <c r="G97" s="479">
        <v>200</v>
      </c>
      <c r="H97" s="486">
        <v>200</v>
      </c>
      <c r="I97" s="954">
        <v>0</v>
      </c>
      <c r="J97" s="954">
        <v>0</v>
      </c>
      <c r="K97" s="1043">
        <v>0</v>
      </c>
      <c r="L97" s="962">
        <f t="shared" ref="L97" si="54">SUM(I97:K97)</f>
        <v>0</v>
      </c>
      <c r="M97" s="534" t="s">
        <v>60</v>
      </c>
      <c r="N97" s="535">
        <f t="shared" si="51"/>
        <v>0</v>
      </c>
      <c r="P97" s="3"/>
    </row>
    <row r="98" spans="1:16" s="509" customFormat="1" ht="37.5" customHeight="1" x14ac:dyDescent="0.2">
      <c r="A98" s="1416" t="s">
        <v>546</v>
      </c>
      <c r="B98" s="1340"/>
      <c r="C98" s="1337"/>
      <c r="D98" s="532">
        <f t="shared" ref="D98" si="55">SUM(D99:D116)</f>
        <v>0</v>
      </c>
      <c r="E98" s="531">
        <f>SUM(E99:E116)</f>
        <v>83389.560000000012</v>
      </c>
      <c r="F98" s="532">
        <f t="shared" ref="F98:K98" si="56">SUM(F99:F116)</f>
        <v>0</v>
      </c>
      <c r="G98" s="533">
        <f t="shared" si="56"/>
        <v>92583.220000000016</v>
      </c>
      <c r="H98" s="531">
        <f t="shared" si="56"/>
        <v>92583.220000000016</v>
      </c>
      <c r="I98" s="954">
        <f t="shared" si="56"/>
        <v>0</v>
      </c>
      <c r="J98" s="954">
        <f t="shared" si="56"/>
        <v>0</v>
      </c>
      <c r="K98" s="1043">
        <f t="shared" si="56"/>
        <v>0</v>
      </c>
      <c r="L98" s="962">
        <f>SUM(I98:K98)</f>
        <v>0</v>
      </c>
      <c r="M98" s="534" t="s">
        <v>60</v>
      </c>
      <c r="N98" s="535">
        <f t="shared" si="51"/>
        <v>0</v>
      </c>
      <c r="P98" s="3"/>
    </row>
    <row r="99" spans="1:16" s="65" customFormat="1" ht="20.100000000000001" customHeight="1" x14ac:dyDescent="0.25">
      <c r="A99" s="766">
        <v>4312</v>
      </c>
      <c r="B99" s="1413" t="s">
        <v>473</v>
      </c>
      <c r="C99" s="1414"/>
      <c r="D99" s="466">
        <v>0</v>
      </c>
      <c r="E99" s="465">
        <v>5097.97</v>
      </c>
      <c r="F99" s="466">
        <v>0</v>
      </c>
      <c r="G99" s="467">
        <v>2383.65</v>
      </c>
      <c r="H99" s="465">
        <v>2383.65</v>
      </c>
      <c r="I99" s="1044">
        <v>0</v>
      </c>
      <c r="J99" s="1044">
        <v>0</v>
      </c>
      <c r="K99" s="1045">
        <v>0</v>
      </c>
      <c r="L99" s="1046">
        <f>SUM(I99:K99)</f>
        <v>0</v>
      </c>
      <c r="M99" s="468" t="s">
        <v>60</v>
      </c>
      <c r="N99" s="469">
        <f t="shared" ref="N99:N116" si="57">L99/G99*100</f>
        <v>0</v>
      </c>
      <c r="P99" s="3"/>
    </row>
    <row r="100" spans="1:16" s="65" customFormat="1" ht="20.100000000000001" customHeight="1" x14ac:dyDescent="0.25">
      <c r="A100" s="766">
        <v>4344</v>
      </c>
      <c r="B100" s="1413" t="s">
        <v>474</v>
      </c>
      <c r="C100" s="1414"/>
      <c r="D100" s="466">
        <v>0</v>
      </c>
      <c r="E100" s="465">
        <v>9626.49</v>
      </c>
      <c r="F100" s="466">
        <v>0</v>
      </c>
      <c r="G100" s="467">
        <v>10888.96</v>
      </c>
      <c r="H100" s="465">
        <v>10888.96</v>
      </c>
      <c r="I100" s="1044">
        <v>0</v>
      </c>
      <c r="J100" s="1044">
        <v>0</v>
      </c>
      <c r="K100" s="1045">
        <v>0</v>
      </c>
      <c r="L100" s="1046">
        <f t="shared" ref="L100:L116" si="58">SUM(I100:K100)</f>
        <v>0</v>
      </c>
      <c r="M100" s="468" t="s">
        <v>60</v>
      </c>
      <c r="N100" s="469">
        <f t="shared" si="57"/>
        <v>0</v>
      </c>
      <c r="P100" s="3"/>
    </row>
    <row r="101" spans="1:16" s="65" customFormat="1" ht="20.100000000000001" customHeight="1" x14ac:dyDescent="0.25">
      <c r="A101" s="766">
        <v>4350</v>
      </c>
      <c r="B101" s="1413" t="s">
        <v>121</v>
      </c>
      <c r="C101" s="1414"/>
      <c r="D101" s="466">
        <v>0</v>
      </c>
      <c r="E101" s="465">
        <v>5929</v>
      </c>
      <c r="F101" s="466">
        <v>0</v>
      </c>
      <c r="G101" s="467">
        <v>4124.58</v>
      </c>
      <c r="H101" s="465">
        <v>4124.58</v>
      </c>
      <c r="I101" s="1044">
        <v>0</v>
      </c>
      <c r="J101" s="1044">
        <v>0</v>
      </c>
      <c r="K101" s="1045">
        <v>0</v>
      </c>
      <c r="L101" s="1046">
        <f t="shared" si="58"/>
        <v>0</v>
      </c>
      <c r="M101" s="468" t="s">
        <v>60</v>
      </c>
      <c r="N101" s="469">
        <f t="shared" si="57"/>
        <v>0</v>
      </c>
      <c r="P101" s="3"/>
    </row>
    <row r="102" spans="1:16" s="65" customFormat="1" ht="30" customHeight="1" x14ac:dyDescent="0.25">
      <c r="A102" s="766">
        <v>4351</v>
      </c>
      <c r="B102" s="1419" t="s">
        <v>528</v>
      </c>
      <c r="C102" s="1420"/>
      <c r="D102" s="974">
        <v>0</v>
      </c>
      <c r="E102" s="975">
        <v>19733.75</v>
      </c>
      <c r="F102" s="974">
        <v>0</v>
      </c>
      <c r="G102" s="857">
        <v>25184.98</v>
      </c>
      <c r="H102" s="975">
        <v>25184.98</v>
      </c>
      <c r="I102" s="1047">
        <v>0</v>
      </c>
      <c r="J102" s="1047">
        <v>0</v>
      </c>
      <c r="K102" s="1048">
        <v>0</v>
      </c>
      <c r="L102" s="1046">
        <f t="shared" si="58"/>
        <v>0</v>
      </c>
      <c r="M102" s="468" t="s">
        <v>60</v>
      </c>
      <c r="N102" s="469">
        <f t="shared" si="57"/>
        <v>0</v>
      </c>
      <c r="P102" s="3"/>
    </row>
    <row r="103" spans="1:16" s="65" customFormat="1" ht="20.100000000000001" customHeight="1" x14ac:dyDescent="0.25">
      <c r="A103" s="766">
        <v>4352</v>
      </c>
      <c r="B103" s="1419" t="s">
        <v>475</v>
      </c>
      <c r="C103" s="1420"/>
      <c r="D103" s="974">
        <v>0</v>
      </c>
      <c r="E103" s="975">
        <v>750</v>
      </c>
      <c r="F103" s="974">
        <v>0</v>
      </c>
      <c r="G103" s="857">
        <v>0</v>
      </c>
      <c r="H103" s="975">
        <v>0</v>
      </c>
      <c r="I103" s="1047">
        <v>0</v>
      </c>
      <c r="J103" s="1047">
        <v>0</v>
      </c>
      <c r="K103" s="1048">
        <v>0</v>
      </c>
      <c r="L103" s="1046">
        <f t="shared" si="58"/>
        <v>0</v>
      </c>
      <c r="M103" s="468" t="s">
        <v>60</v>
      </c>
      <c r="N103" s="469" t="s">
        <v>60</v>
      </c>
      <c r="P103" s="3"/>
    </row>
    <row r="104" spans="1:16" s="65" customFormat="1" ht="20.100000000000001" customHeight="1" x14ac:dyDescent="0.25">
      <c r="A104" s="766">
        <v>4354</v>
      </c>
      <c r="B104" s="1413" t="s">
        <v>290</v>
      </c>
      <c r="C104" s="1414"/>
      <c r="D104" s="466">
        <v>0</v>
      </c>
      <c r="E104" s="465">
        <v>2567.0500000000002</v>
      </c>
      <c r="F104" s="466">
        <v>0</v>
      </c>
      <c r="G104" s="467">
        <v>6466.25</v>
      </c>
      <c r="H104" s="465">
        <v>6466.25</v>
      </c>
      <c r="I104" s="1044">
        <v>0</v>
      </c>
      <c r="J104" s="1044">
        <v>0</v>
      </c>
      <c r="K104" s="1045">
        <v>0</v>
      </c>
      <c r="L104" s="1046">
        <f t="shared" si="58"/>
        <v>0</v>
      </c>
      <c r="M104" s="468" t="s">
        <v>60</v>
      </c>
      <c r="N104" s="469">
        <f t="shared" si="57"/>
        <v>0</v>
      </c>
      <c r="P104" s="3"/>
    </row>
    <row r="105" spans="1:16" s="65" customFormat="1" ht="20.100000000000001" customHeight="1" x14ac:dyDescent="0.25">
      <c r="A105" s="766">
        <v>4355</v>
      </c>
      <c r="B105" s="1413" t="s">
        <v>476</v>
      </c>
      <c r="C105" s="1414"/>
      <c r="D105" s="466">
        <v>0</v>
      </c>
      <c r="E105" s="465">
        <v>458.05</v>
      </c>
      <c r="F105" s="466">
        <v>0</v>
      </c>
      <c r="G105" s="467">
        <v>508.32</v>
      </c>
      <c r="H105" s="465">
        <v>508.32</v>
      </c>
      <c r="I105" s="1044">
        <v>0</v>
      </c>
      <c r="J105" s="1044">
        <v>0</v>
      </c>
      <c r="K105" s="1045">
        <v>0</v>
      </c>
      <c r="L105" s="1046">
        <f t="shared" si="58"/>
        <v>0</v>
      </c>
      <c r="M105" s="468" t="s">
        <v>60</v>
      </c>
      <c r="N105" s="469">
        <f t="shared" si="57"/>
        <v>0</v>
      </c>
      <c r="P105" s="3"/>
    </row>
    <row r="106" spans="1:16" s="65" customFormat="1" ht="20.100000000000001" customHeight="1" x14ac:dyDescent="0.25">
      <c r="A106" s="766">
        <v>4356</v>
      </c>
      <c r="B106" s="1413" t="s">
        <v>122</v>
      </c>
      <c r="C106" s="1414"/>
      <c r="D106" s="466">
        <v>0</v>
      </c>
      <c r="E106" s="465">
        <v>4425.92</v>
      </c>
      <c r="F106" s="466">
        <v>0</v>
      </c>
      <c r="G106" s="467">
        <v>6969.77</v>
      </c>
      <c r="H106" s="465">
        <v>6969.77</v>
      </c>
      <c r="I106" s="1044">
        <v>0</v>
      </c>
      <c r="J106" s="1044">
        <v>0</v>
      </c>
      <c r="K106" s="1045">
        <v>0</v>
      </c>
      <c r="L106" s="1046">
        <f t="shared" si="58"/>
        <v>0</v>
      </c>
      <c r="M106" s="468" t="s">
        <v>60</v>
      </c>
      <c r="N106" s="469">
        <f t="shared" si="57"/>
        <v>0</v>
      </c>
      <c r="P106" s="3"/>
    </row>
    <row r="107" spans="1:16" s="65" customFormat="1" ht="30" customHeight="1" x14ac:dyDescent="0.25">
      <c r="A107" s="766">
        <v>4357</v>
      </c>
      <c r="B107" s="1413" t="s">
        <v>194</v>
      </c>
      <c r="C107" s="1414"/>
      <c r="D107" s="466">
        <v>0</v>
      </c>
      <c r="E107" s="465">
        <v>8449.83</v>
      </c>
      <c r="F107" s="466">
        <v>0</v>
      </c>
      <c r="G107" s="467">
        <v>5158.46</v>
      </c>
      <c r="H107" s="465">
        <v>5158.46</v>
      </c>
      <c r="I107" s="1044">
        <v>0</v>
      </c>
      <c r="J107" s="1044">
        <v>0</v>
      </c>
      <c r="K107" s="1045">
        <v>0</v>
      </c>
      <c r="L107" s="1046">
        <f t="shared" si="58"/>
        <v>0</v>
      </c>
      <c r="M107" s="468" t="s">
        <v>60</v>
      </c>
      <c r="N107" s="469">
        <f t="shared" si="57"/>
        <v>0</v>
      </c>
      <c r="P107" s="3"/>
    </row>
    <row r="108" spans="1:16" s="65" customFormat="1" ht="20.100000000000001" customHeight="1" x14ac:dyDescent="0.25">
      <c r="A108" s="766">
        <v>4359</v>
      </c>
      <c r="B108" s="1413" t="s">
        <v>477</v>
      </c>
      <c r="C108" s="1414"/>
      <c r="D108" s="466">
        <v>0</v>
      </c>
      <c r="E108" s="465">
        <v>2751.08</v>
      </c>
      <c r="F108" s="466">
        <v>0</v>
      </c>
      <c r="G108" s="467">
        <v>3232.32</v>
      </c>
      <c r="H108" s="465">
        <v>3232.32</v>
      </c>
      <c r="I108" s="1044">
        <v>0</v>
      </c>
      <c r="J108" s="1044">
        <v>0</v>
      </c>
      <c r="K108" s="1045">
        <v>0</v>
      </c>
      <c r="L108" s="1046">
        <f t="shared" si="58"/>
        <v>0</v>
      </c>
      <c r="M108" s="468" t="s">
        <v>60</v>
      </c>
      <c r="N108" s="469">
        <f t="shared" si="57"/>
        <v>0</v>
      </c>
      <c r="P108" s="3"/>
    </row>
    <row r="109" spans="1:16" s="65" customFormat="1" ht="30" customHeight="1" x14ac:dyDescent="0.25">
      <c r="A109" s="766">
        <v>4371</v>
      </c>
      <c r="B109" s="1413" t="s">
        <v>529</v>
      </c>
      <c r="C109" s="1414"/>
      <c r="D109" s="466">
        <v>0</v>
      </c>
      <c r="E109" s="465">
        <v>8739.82</v>
      </c>
      <c r="F109" s="466">
        <v>0</v>
      </c>
      <c r="G109" s="467">
        <v>10639.78</v>
      </c>
      <c r="H109" s="465">
        <v>10639.78</v>
      </c>
      <c r="I109" s="1044">
        <v>0</v>
      </c>
      <c r="J109" s="1044">
        <v>0</v>
      </c>
      <c r="K109" s="1045">
        <v>0</v>
      </c>
      <c r="L109" s="1046">
        <f t="shared" si="58"/>
        <v>0</v>
      </c>
      <c r="M109" s="468" t="s">
        <v>60</v>
      </c>
      <c r="N109" s="469">
        <f t="shared" si="57"/>
        <v>0</v>
      </c>
      <c r="P109" s="3"/>
    </row>
    <row r="110" spans="1:16" s="65" customFormat="1" ht="20.100000000000001" customHeight="1" x14ac:dyDescent="0.25">
      <c r="A110" s="766">
        <v>4372</v>
      </c>
      <c r="B110" s="1413" t="s">
        <v>530</v>
      </c>
      <c r="C110" s="1414"/>
      <c r="D110" s="466">
        <v>0</v>
      </c>
      <c r="E110" s="465">
        <v>0</v>
      </c>
      <c r="F110" s="466">
        <v>0</v>
      </c>
      <c r="G110" s="467">
        <v>250</v>
      </c>
      <c r="H110" s="465">
        <v>250</v>
      </c>
      <c r="I110" s="1044">
        <v>0</v>
      </c>
      <c r="J110" s="1044">
        <v>0</v>
      </c>
      <c r="K110" s="1045">
        <v>0</v>
      </c>
      <c r="L110" s="1046">
        <f t="shared" si="58"/>
        <v>0</v>
      </c>
      <c r="M110" s="468" t="s">
        <v>60</v>
      </c>
      <c r="N110" s="469">
        <f t="shared" si="57"/>
        <v>0</v>
      </c>
      <c r="P110" s="3"/>
    </row>
    <row r="111" spans="1:16" s="65" customFormat="1" ht="30" customHeight="1" x14ac:dyDescent="0.25">
      <c r="A111" s="766">
        <v>4374</v>
      </c>
      <c r="B111" s="1413" t="s">
        <v>531</v>
      </c>
      <c r="C111" s="1414"/>
      <c r="D111" s="466">
        <v>0</v>
      </c>
      <c r="E111" s="465">
        <v>1298.08</v>
      </c>
      <c r="F111" s="466">
        <v>0</v>
      </c>
      <c r="G111" s="467">
        <v>1686.83</v>
      </c>
      <c r="H111" s="465">
        <v>1686.83</v>
      </c>
      <c r="I111" s="1044">
        <v>0</v>
      </c>
      <c r="J111" s="1044">
        <v>0</v>
      </c>
      <c r="K111" s="1045">
        <v>0</v>
      </c>
      <c r="L111" s="1046">
        <f t="shared" si="58"/>
        <v>0</v>
      </c>
      <c r="M111" s="468" t="s">
        <v>60</v>
      </c>
      <c r="N111" s="469">
        <f t="shared" si="57"/>
        <v>0</v>
      </c>
      <c r="P111" s="3"/>
    </row>
    <row r="112" spans="1:16" s="65" customFormat="1" ht="20.100000000000001" customHeight="1" x14ac:dyDescent="0.25">
      <c r="A112" s="766">
        <v>4375</v>
      </c>
      <c r="B112" s="1413" t="s">
        <v>478</v>
      </c>
      <c r="C112" s="1414"/>
      <c r="D112" s="466">
        <v>0</v>
      </c>
      <c r="E112" s="465">
        <v>2305.5</v>
      </c>
      <c r="F112" s="466">
        <v>0</v>
      </c>
      <c r="G112" s="467">
        <v>4940.24</v>
      </c>
      <c r="H112" s="465">
        <v>4940.24</v>
      </c>
      <c r="I112" s="1044">
        <v>0</v>
      </c>
      <c r="J112" s="1044">
        <v>0</v>
      </c>
      <c r="K112" s="1045">
        <v>0</v>
      </c>
      <c r="L112" s="1046">
        <f t="shared" si="58"/>
        <v>0</v>
      </c>
      <c r="M112" s="468" t="s">
        <v>60</v>
      </c>
      <c r="N112" s="469">
        <f t="shared" si="57"/>
        <v>0</v>
      </c>
      <c r="P112" s="3"/>
    </row>
    <row r="113" spans="1:16" s="65" customFormat="1" ht="30" customHeight="1" x14ac:dyDescent="0.25">
      <c r="A113" s="766">
        <v>4376</v>
      </c>
      <c r="B113" s="1413" t="s">
        <v>536</v>
      </c>
      <c r="C113" s="1414"/>
      <c r="D113" s="466">
        <v>0</v>
      </c>
      <c r="E113" s="465">
        <v>3873.66</v>
      </c>
      <c r="F113" s="466">
        <v>0</v>
      </c>
      <c r="G113" s="467">
        <v>1138.5999999999999</v>
      </c>
      <c r="H113" s="465">
        <v>1138.5999999999999</v>
      </c>
      <c r="I113" s="1044">
        <v>0</v>
      </c>
      <c r="J113" s="1044">
        <v>0</v>
      </c>
      <c r="K113" s="1045">
        <v>0</v>
      </c>
      <c r="L113" s="1046">
        <f t="shared" si="58"/>
        <v>0</v>
      </c>
      <c r="M113" s="468" t="s">
        <v>60</v>
      </c>
      <c r="N113" s="469">
        <f t="shared" si="57"/>
        <v>0</v>
      </c>
      <c r="P113" s="3"/>
    </row>
    <row r="114" spans="1:16" s="65" customFormat="1" ht="20.100000000000001" customHeight="1" x14ac:dyDescent="0.25">
      <c r="A114" s="766">
        <v>4377</v>
      </c>
      <c r="B114" s="1413" t="s">
        <v>479</v>
      </c>
      <c r="C114" s="1414"/>
      <c r="D114" s="466">
        <v>0</v>
      </c>
      <c r="E114" s="465">
        <v>1709.05</v>
      </c>
      <c r="F114" s="466">
        <v>0</v>
      </c>
      <c r="G114" s="467">
        <v>1345.05</v>
      </c>
      <c r="H114" s="465">
        <v>1345.05</v>
      </c>
      <c r="I114" s="1044">
        <v>0</v>
      </c>
      <c r="J114" s="1044">
        <v>0</v>
      </c>
      <c r="K114" s="1045">
        <v>0</v>
      </c>
      <c r="L114" s="1046">
        <f t="shared" si="58"/>
        <v>0</v>
      </c>
      <c r="M114" s="468" t="s">
        <v>60</v>
      </c>
      <c r="N114" s="469">
        <f t="shared" si="57"/>
        <v>0</v>
      </c>
      <c r="P114" s="3"/>
    </row>
    <row r="115" spans="1:16" s="65" customFormat="1" ht="20.100000000000001" customHeight="1" x14ac:dyDescent="0.25">
      <c r="A115" s="766">
        <v>4378</v>
      </c>
      <c r="B115" s="1413" t="s">
        <v>480</v>
      </c>
      <c r="C115" s="1414"/>
      <c r="D115" s="466">
        <v>0</v>
      </c>
      <c r="E115" s="465">
        <v>2047.68</v>
      </c>
      <c r="F115" s="466">
        <v>0</v>
      </c>
      <c r="G115" s="467">
        <v>4240.1000000000004</v>
      </c>
      <c r="H115" s="465">
        <v>4240.1000000000004</v>
      </c>
      <c r="I115" s="1044">
        <v>0</v>
      </c>
      <c r="J115" s="1044">
        <v>0</v>
      </c>
      <c r="K115" s="1045">
        <v>0</v>
      </c>
      <c r="L115" s="1046">
        <f t="shared" si="58"/>
        <v>0</v>
      </c>
      <c r="M115" s="468" t="s">
        <v>60</v>
      </c>
      <c r="N115" s="469">
        <f t="shared" si="57"/>
        <v>0</v>
      </c>
      <c r="P115" s="3"/>
    </row>
    <row r="116" spans="1:16" s="65" customFormat="1" ht="20.100000000000001" customHeight="1" x14ac:dyDescent="0.25">
      <c r="A116" s="766">
        <v>4379</v>
      </c>
      <c r="B116" s="1413" t="s">
        <v>532</v>
      </c>
      <c r="C116" s="1414"/>
      <c r="D116" s="466">
        <v>0</v>
      </c>
      <c r="E116" s="465">
        <v>3626.63</v>
      </c>
      <c r="F116" s="466">
        <v>0</v>
      </c>
      <c r="G116" s="467">
        <v>3425.33</v>
      </c>
      <c r="H116" s="465">
        <v>3425.33</v>
      </c>
      <c r="I116" s="1044">
        <v>0</v>
      </c>
      <c r="J116" s="1044">
        <v>0</v>
      </c>
      <c r="K116" s="1045">
        <v>0</v>
      </c>
      <c r="L116" s="1046">
        <f t="shared" si="58"/>
        <v>0</v>
      </c>
      <c r="M116" s="468" t="s">
        <v>60</v>
      </c>
      <c r="N116" s="469">
        <f t="shared" si="57"/>
        <v>0</v>
      </c>
      <c r="P116" s="3"/>
    </row>
    <row r="117" spans="1:16" s="509" customFormat="1" ht="20.100000000000001" customHeight="1" x14ac:dyDescent="0.2">
      <c r="A117" s="1416" t="s">
        <v>180</v>
      </c>
      <c r="B117" s="1340"/>
      <c r="C117" s="1337"/>
      <c r="D117" s="532">
        <f t="shared" ref="D117:K117" si="59">SUM(D118:D121)</f>
        <v>25000</v>
      </c>
      <c r="E117" s="531">
        <f t="shared" si="59"/>
        <v>11925.26</v>
      </c>
      <c r="F117" s="532">
        <f t="shared" si="59"/>
        <v>30000</v>
      </c>
      <c r="G117" s="533">
        <f t="shared" si="59"/>
        <v>17449.349999999999</v>
      </c>
      <c r="H117" s="531">
        <f t="shared" si="59"/>
        <v>13212.85</v>
      </c>
      <c r="I117" s="954">
        <f t="shared" si="59"/>
        <v>40000</v>
      </c>
      <c r="J117" s="954">
        <f t="shared" si="59"/>
        <v>0</v>
      </c>
      <c r="K117" s="1043">
        <f t="shared" si="59"/>
        <v>0</v>
      </c>
      <c r="L117" s="962">
        <f>SUM(I117:K117)</f>
        <v>40000</v>
      </c>
      <c r="M117" s="534">
        <f>L117/F117*100</f>
        <v>133.33333333333331</v>
      </c>
      <c r="N117" s="535">
        <f t="shared" ref="N117:N123" si="60">L117/G117*100</f>
        <v>229.23489986733031</v>
      </c>
      <c r="P117" s="3"/>
    </row>
    <row r="118" spans="1:16" s="65" customFormat="1" ht="20.100000000000001" customHeight="1" x14ac:dyDescent="0.25">
      <c r="A118" s="766">
        <v>4350</v>
      </c>
      <c r="B118" s="1413" t="s">
        <v>121</v>
      </c>
      <c r="C118" s="1414"/>
      <c r="D118" s="466">
        <v>0</v>
      </c>
      <c r="E118" s="465">
        <v>7369.99</v>
      </c>
      <c r="F118" s="466">
        <v>0</v>
      </c>
      <c r="G118" s="467">
        <v>11433.25</v>
      </c>
      <c r="H118" s="465">
        <v>11433.26</v>
      </c>
      <c r="I118" s="1044">
        <v>0</v>
      </c>
      <c r="J118" s="1044">
        <v>0</v>
      </c>
      <c r="K118" s="1045">
        <v>0</v>
      </c>
      <c r="L118" s="1046">
        <f>SUM(I118:K118)</f>
        <v>0</v>
      </c>
      <c r="M118" s="468" t="s">
        <v>60</v>
      </c>
      <c r="N118" s="469">
        <f t="shared" si="60"/>
        <v>0</v>
      </c>
      <c r="P118" s="3"/>
    </row>
    <row r="119" spans="1:16" s="65" customFormat="1" ht="32.25" customHeight="1" x14ac:dyDescent="0.25">
      <c r="A119" s="766">
        <v>4357</v>
      </c>
      <c r="B119" s="1419" t="s">
        <v>194</v>
      </c>
      <c r="C119" s="1420"/>
      <c r="D119" s="466">
        <v>0</v>
      </c>
      <c r="E119" s="465">
        <v>4555.2700000000004</v>
      </c>
      <c r="F119" s="466">
        <v>0</v>
      </c>
      <c r="G119" s="467">
        <v>1546.11</v>
      </c>
      <c r="H119" s="465">
        <v>1546.11</v>
      </c>
      <c r="I119" s="1044">
        <v>0</v>
      </c>
      <c r="J119" s="1044">
        <v>0</v>
      </c>
      <c r="K119" s="1045">
        <v>0</v>
      </c>
      <c r="L119" s="1046">
        <f t="shared" ref="L119:L121" si="61">SUM(I119:K119)</f>
        <v>0</v>
      </c>
      <c r="M119" s="468" t="s">
        <v>60</v>
      </c>
      <c r="N119" s="469">
        <f t="shared" ref="N119" si="62">L119/G119*100</f>
        <v>0</v>
      </c>
      <c r="P119" s="3"/>
    </row>
    <row r="120" spans="1:16" s="65" customFormat="1" ht="32.25" customHeight="1" x14ac:dyDescent="0.25">
      <c r="A120" s="766">
        <v>4376</v>
      </c>
      <c r="B120" s="1413" t="s">
        <v>536</v>
      </c>
      <c r="C120" s="1414"/>
      <c r="D120" s="466">
        <v>0</v>
      </c>
      <c r="E120" s="465">
        <v>0</v>
      </c>
      <c r="F120" s="466">
        <v>0</v>
      </c>
      <c r="G120" s="467">
        <v>233.48</v>
      </c>
      <c r="H120" s="465">
        <v>233.48</v>
      </c>
      <c r="I120" s="1044">
        <v>0</v>
      </c>
      <c r="J120" s="1044">
        <v>0</v>
      </c>
      <c r="K120" s="1045">
        <v>0</v>
      </c>
      <c r="L120" s="1046">
        <f t="shared" ref="L120" si="63">SUM(I120:K120)</f>
        <v>0</v>
      </c>
      <c r="M120" s="468" t="s">
        <v>60</v>
      </c>
      <c r="N120" s="469">
        <f t="shared" ref="N120" si="64">L120/G120*100</f>
        <v>0</v>
      </c>
      <c r="P120" s="3"/>
    </row>
    <row r="121" spans="1:16" s="65" customFormat="1" ht="27.75" customHeight="1" x14ac:dyDescent="0.25">
      <c r="A121" s="766">
        <v>4399</v>
      </c>
      <c r="B121" s="1419" t="s">
        <v>293</v>
      </c>
      <c r="C121" s="1420"/>
      <c r="D121" s="466">
        <v>25000</v>
      </c>
      <c r="E121" s="465">
        <v>0</v>
      </c>
      <c r="F121" s="466">
        <v>30000</v>
      </c>
      <c r="G121" s="467">
        <v>4236.51</v>
      </c>
      <c r="H121" s="465">
        <v>0</v>
      </c>
      <c r="I121" s="1044">
        <v>40000</v>
      </c>
      <c r="J121" s="1044">
        <v>0</v>
      </c>
      <c r="K121" s="1045">
        <v>0</v>
      </c>
      <c r="L121" s="1046">
        <f t="shared" si="61"/>
        <v>40000</v>
      </c>
      <c r="M121" s="468">
        <f t="shared" ref="M121:M122" si="65">L121/F121*100</f>
        <v>133.33333333333331</v>
      </c>
      <c r="N121" s="469">
        <f t="shared" si="60"/>
        <v>944.17338800097252</v>
      </c>
      <c r="P121" s="3"/>
    </row>
    <row r="122" spans="1:16" s="63" customFormat="1" ht="16.5" customHeight="1" thickBot="1" x14ac:dyDescent="0.25">
      <c r="A122" s="655" t="s">
        <v>96</v>
      </c>
      <c r="B122" s="1417" t="s">
        <v>138</v>
      </c>
      <c r="C122" s="1418"/>
      <c r="D122" s="427">
        <v>25000</v>
      </c>
      <c r="E122" s="426">
        <v>11925.25</v>
      </c>
      <c r="F122" s="427">
        <f t="shared" ref="F122:K122" si="66">+F117</f>
        <v>30000</v>
      </c>
      <c r="G122" s="428">
        <f t="shared" si="66"/>
        <v>17449.349999999999</v>
      </c>
      <c r="H122" s="426">
        <f t="shared" si="66"/>
        <v>13212.85</v>
      </c>
      <c r="I122" s="1049">
        <f t="shared" si="66"/>
        <v>40000</v>
      </c>
      <c r="J122" s="1049">
        <f t="shared" si="66"/>
        <v>0</v>
      </c>
      <c r="K122" s="1050">
        <f t="shared" si="66"/>
        <v>0</v>
      </c>
      <c r="L122" s="1011">
        <f>SUM(I122:K122)</f>
        <v>40000</v>
      </c>
      <c r="M122" s="422">
        <f t="shared" si="65"/>
        <v>133.33333333333331</v>
      </c>
      <c r="N122" s="423">
        <f t="shared" si="60"/>
        <v>229.23489986733031</v>
      </c>
      <c r="P122" s="3"/>
    </row>
    <row r="123" spans="1:16" s="19" customFormat="1" ht="20.100000000000001" customHeight="1" thickBot="1" x14ac:dyDescent="0.3">
      <c r="A123" s="190"/>
      <c r="B123" s="201" t="s">
        <v>85</v>
      </c>
      <c r="C123" s="187"/>
      <c r="D123" s="187">
        <f>D9+D14+D15+D16+D17+D22+D23+D28+D29+D34+D39+D44+D49+D54+D59+D60+D65+D70+D75+D80+D93+D85+D94+D95+D96+D97+D98+D117</f>
        <v>559847</v>
      </c>
      <c r="E123" s="202">
        <f t="shared" ref="E123:L123" si="67">E9+E14+E15+E16+E17+E22+E23+E28+E29+E34+E39+E44+E49+E54+E59+E60+E65+E70+E75+E80+E93+E85+E94+E95+E96+E97+E98+E117</f>
        <v>490735.96</v>
      </c>
      <c r="F123" s="187">
        <f t="shared" si="67"/>
        <v>535445</v>
      </c>
      <c r="G123" s="203">
        <f t="shared" si="67"/>
        <v>621103.03999999992</v>
      </c>
      <c r="H123" s="203">
        <f t="shared" si="67"/>
        <v>482426.69</v>
      </c>
      <c r="I123" s="187">
        <f t="shared" si="67"/>
        <v>467558</v>
      </c>
      <c r="J123" s="1051">
        <f t="shared" si="67"/>
        <v>48545</v>
      </c>
      <c r="K123" s="1052">
        <f t="shared" si="67"/>
        <v>24342</v>
      </c>
      <c r="L123" s="1053">
        <f t="shared" si="67"/>
        <v>540445</v>
      </c>
      <c r="M123" s="184">
        <f>L123/F123*100</f>
        <v>100.93380272483634</v>
      </c>
      <c r="N123" s="185">
        <f t="shared" si="60"/>
        <v>87.013742518471659</v>
      </c>
      <c r="O123" s="268"/>
      <c r="P123" s="3"/>
    </row>
    <row r="125" spans="1:16" s="65" customFormat="1" ht="15" x14ac:dyDescent="0.25">
      <c r="A125" s="102"/>
      <c r="B125" s="20"/>
      <c r="D125" s="167"/>
      <c r="E125" s="167"/>
      <c r="F125" s="167"/>
      <c r="G125" s="167"/>
      <c r="H125" s="167"/>
      <c r="I125" s="167"/>
      <c r="J125" s="167"/>
      <c r="K125" s="167"/>
      <c r="L125" s="167"/>
      <c r="M125" s="6"/>
      <c r="N125" s="6"/>
    </row>
    <row r="126" spans="1:16" s="65" customFormat="1" ht="15" x14ac:dyDescent="0.25">
      <c r="A126" s="102"/>
      <c r="D126" s="167"/>
      <c r="E126" s="167"/>
      <c r="F126" s="167"/>
      <c r="G126" s="167"/>
      <c r="H126" s="167"/>
      <c r="I126" s="167"/>
      <c r="J126" s="167"/>
      <c r="K126" s="167"/>
      <c r="L126" s="167"/>
      <c r="M126" s="1178"/>
      <c r="N126" s="6"/>
    </row>
  </sheetData>
  <mergeCells count="94">
    <mergeCell ref="B120:C120"/>
    <mergeCell ref="B113:C113"/>
    <mergeCell ref="B114:C114"/>
    <mergeCell ref="B110:C110"/>
    <mergeCell ref="B100:C100"/>
    <mergeCell ref="B101:C101"/>
    <mergeCell ref="B102:C102"/>
    <mergeCell ref="B103:C103"/>
    <mergeCell ref="B105:C105"/>
    <mergeCell ref="B106:C106"/>
    <mergeCell ref="B107:C107"/>
    <mergeCell ref="B108:C108"/>
    <mergeCell ref="B109:C109"/>
    <mergeCell ref="B122:C122"/>
    <mergeCell ref="B121:C121"/>
    <mergeCell ref="A75:A79"/>
    <mergeCell ref="B75:C75"/>
    <mergeCell ref="B76:B79"/>
    <mergeCell ref="B81:B84"/>
    <mergeCell ref="B89:C89"/>
    <mergeCell ref="B104:C104"/>
    <mergeCell ref="B116:C116"/>
    <mergeCell ref="A117:C117"/>
    <mergeCell ref="B118:C118"/>
    <mergeCell ref="B119:C119"/>
    <mergeCell ref="B97:C97"/>
    <mergeCell ref="B111:C111"/>
    <mergeCell ref="B112:C112"/>
    <mergeCell ref="B115:C115"/>
    <mergeCell ref="A70:A74"/>
    <mergeCell ref="A85:C85"/>
    <mergeCell ref="B92:C92"/>
    <mergeCell ref="B99:C99"/>
    <mergeCell ref="B80:C80"/>
    <mergeCell ref="A80:A84"/>
    <mergeCell ref="B93:C93"/>
    <mergeCell ref="B94:C94"/>
    <mergeCell ref="B95:C95"/>
    <mergeCell ref="B96:C96"/>
    <mergeCell ref="B88:C88"/>
    <mergeCell ref="A98:C98"/>
    <mergeCell ref="B90:C90"/>
    <mergeCell ref="B91:C91"/>
    <mergeCell ref="B86:C86"/>
    <mergeCell ref="B87:C87"/>
    <mergeCell ref="A39:A43"/>
    <mergeCell ref="B39:C39"/>
    <mergeCell ref="B40:B43"/>
    <mergeCell ref="B70:C70"/>
    <mergeCell ref="B71:B74"/>
    <mergeCell ref="B59:C59"/>
    <mergeCell ref="A49:A53"/>
    <mergeCell ref="B49:C49"/>
    <mergeCell ref="B50:B53"/>
    <mergeCell ref="A54:A58"/>
    <mergeCell ref="B54:C54"/>
    <mergeCell ref="B55:B58"/>
    <mergeCell ref="A44:A48"/>
    <mergeCell ref="B44:C44"/>
    <mergeCell ref="B45:B48"/>
    <mergeCell ref="A60:A64"/>
    <mergeCell ref="B60:C60"/>
    <mergeCell ref="B61:B64"/>
    <mergeCell ref="A65:A69"/>
    <mergeCell ref="B65:C65"/>
    <mergeCell ref="B66:B69"/>
    <mergeCell ref="B9:C9"/>
    <mergeCell ref="A2:N2"/>
    <mergeCell ref="A6:A7"/>
    <mergeCell ref="D6:E6"/>
    <mergeCell ref="F6:H6"/>
    <mergeCell ref="I6:L6"/>
    <mergeCell ref="M6:M7"/>
    <mergeCell ref="N6:N7"/>
    <mergeCell ref="B6:C7"/>
    <mergeCell ref="A9:A13"/>
    <mergeCell ref="B10:B13"/>
    <mergeCell ref="B14:C14"/>
    <mergeCell ref="A17:A21"/>
    <mergeCell ref="B23:C23"/>
    <mergeCell ref="A23:A27"/>
    <mergeCell ref="B24:B27"/>
    <mergeCell ref="B16:C16"/>
    <mergeCell ref="B17:C17"/>
    <mergeCell ref="B22:C22"/>
    <mergeCell ref="B15:C15"/>
    <mergeCell ref="A34:A38"/>
    <mergeCell ref="B34:C34"/>
    <mergeCell ref="B35:B38"/>
    <mergeCell ref="B18:B21"/>
    <mergeCell ref="A29:A33"/>
    <mergeCell ref="B29:C29"/>
    <mergeCell ref="B30:B33"/>
    <mergeCell ref="B28:C28"/>
  </mergeCells>
  <printOptions horizontalCentered="1"/>
  <pageMargins left="0.59055118110236227" right="0.59055118110236227" top="0.78740157480314965" bottom="0.78740157480314965" header="0.59055118110236227" footer="0.59055118110236227"/>
  <pageSetup paperSize="9" scale="76" fitToHeight="0"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A1:N21"/>
  <sheetViews>
    <sheetView workbookViewId="0"/>
  </sheetViews>
  <sheetFormatPr defaultRowHeight="12.75" x14ac:dyDescent="0.2"/>
  <cols>
    <col min="1" max="1" width="7.7109375" style="1" customWidth="1"/>
    <col min="2" max="2" width="50.42578125" style="1" customWidth="1"/>
    <col min="3" max="3" width="14.7109375" style="2" customWidth="1"/>
    <col min="4" max="4" width="14.7109375" style="3" customWidth="1"/>
    <col min="5" max="5" width="14.7109375" style="2" customWidth="1"/>
    <col min="6" max="6" width="17" style="3" customWidth="1"/>
    <col min="7" max="8" width="14.7109375" style="3" customWidth="1"/>
    <col min="9" max="9" width="15.7109375" style="3" customWidth="1"/>
    <col min="10" max="10" width="14.7109375" style="3" customWidth="1"/>
    <col min="11" max="11" width="14.7109375" style="787" customWidth="1"/>
    <col min="12" max="12" width="9.85546875" style="5" customWidth="1"/>
    <col min="13" max="13" width="9.7109375" style="5" customWidth="1"/>
    <col min="14" max="256" width="9.140625" style="1"/>
    <col min="257" max="257" width="6.7109375" style="1" customWidth="1"/>
    <col min="258" max="258" width="49.85546875" style="1" customWidth="1"/>
    <col min="259" max="261" width="14.7109375" style="1" customWidth="1"/>
    <col min="262" max="262" width="17" style="1" customWidth="1"/>
    <col min="263" max="266" width="14.7109375" style="1" customWidth="1"/>
    <col min="267" max="267" width="16.7109375" style="1" customWidth="1"/>
    <col min="268" max="268" width="6.85546875" style="1" customWidth="1"/>
    <col min="269" max="269" width="7.42578125" style="1" customWidth="1"/>
    <col min="270" max="512" width="9.140625" style="1"/>
    <col min="513" max="513" width="6.7109375" style="1" customWidth="1"/>
    <col min="514" max="514" width="49.85546875" style="1" customWidth="1"/>
    <col min="515" max="517" width="14.7109375" style="1" customWidth="1"/>
    <col min="518" max="518" width="17" style="1" customWidth="1"/>
    <col min="519" max="522" width="14.7109375" style="1" customWidth="1"/>
    <col min="523" max="523" width="16.7109375" style="1" customWidth="1"/>
    <col min="524" max="524" width="6.85546875" style="1" customWidth="1"/>
    <col min="525" max="525" width="7.42578125" style="1" customWidth="1"/>
    <col min="526" max="768" width="9.140625" style="1"/>
    <col min="769" max="769" width="6.7109375" style="1" customWidth="1"/>
    <col min="770" max="770" width="49.85546875" style="1" customWidth="1"/>
    <col min="771" max="773" width="14.7109375" style="1" customWidth="1"/>
    <col min="774" max="774" width="17" style="1" customWidth="1"/>
    <col min="775" max="778" width="14.7109375" style="1" customWidth="1"/>
    <col min="779" max="779" width="16.7109375" style="1" customWidth="1"/>
    <col min="780" max="780" width="6.85546875" style="1" customWidth="1"/>
    <col min="781" max="781" width="7.42578125" style="1" customWidth="1"/>
    <col min="782" max="1024" width="9.140625" style="1"/>
    <col min="1025" max="1025" width="6.7109375" style="1" customWidth="1"/>
    <col min="1026" max="1026" width="49.85546875" style="1" customWidth="1"/>
    <col min="1027" max="1029" width="14.7109375" style="1" customWidth="1"/>
    <col min="1030" max="1030" width="17" style="1" customWidth="1"/>
    <col min="1031" max="1034" width="14.7109375" style="1" customWidth="1"/>
    <col min="1035" max="1035" width="16.7109375" style="1" customWidth="1"/>
    <col min="1036" max="1036" width="6.85546875" style="1" customWidth="1"/>
    <col min="1037" max="1037" width="7.42578125" style="1" customWidth="1"/>
    <col min="1038" max="1280" width="9.140625" style="1"/>
    <col min="1281" max="1281" width="6.7109375" style="1" customWidth="1"/>
    <col min="1282" max="1282" width="49.85546875" style="1" customWidth="1"/>
    <col min="1283" max="1285" width="14.7109375" style="1" customWidth="1"/>
    <col min="1286" max="1286" width="17" style="1" customWidth="1"/>
    <col min="1287" max="1290" width="14.7109375" style="1" customWidth="1"/>
    <col min="1291" max="1291" width="16.7109375" style="1" customWidth="1"/>
    <col min="1292" max="1292" width="6.85546875" style="1" customWidth="1"/>
    <col min="1293" max="1293" width="7.42578125" style="1" customWidth="1"/>
    <col min="1294" max="1536" width="9.140625" style="1"/>
    <col min="1537" max="1537" width="6.7109375" style="1" customWidth="1"/>
    <col min="1538" max="1538" width="49.85546875" style="1" customWidth="1"/>
    <col min="1539" max="1541" width="14.7109375" style="1" customWidth="1"/>
    <col min="1542" max="1542" width="17" style="1" customWidth="1"/>
    <col min="1543" max="1546" width="14.7109375" style="1" customWidth="1"/>
    <col min="1547" max="1547" width="16.7109375" style="1" customWidth="1"/>
    <col min="1548" max="1548" width="6.85546875" style="1" customWidth="1"/>
    <col min="1549" max="1549" width="7.42578125" style="1" customWidth="1"/>
    <col min="1550" max="1792" width="9.140625" style="1"/>
    <col min="1793" max="1793" width="6.7109375" style="1" customWidth="1"/>
    <col min="1794" max="1794" width="49.85546875" style="1" customWidth="1"/>
    <col min="1795" max="1797" width="14.7109375" style="1" customWidth="1"/>
    <col min="1798" max="1798" width="17" style="1" customWidth="1"/>
    <col min="1799" max="1802" width="14.7109375" style="1" customWidth="1"/>
    <col min="1803" max="1803" width="16.7109375" style="1" customWidth="1"/>
    <col min="1804" max="1804" width="6.85546875" style="1" customWidth="1"/>
    <col min="1805" max="1805" width="7.42578125" style="1" customWidth="1"/>
    <col min="1806" max="2048" width="9.140625" style="1"/>
    <col min="2049" max="2049" width="6.7109375" style="1" customWidth="1"/>
    <col min="2050" max="2050" width="49.85546875" style="1" customWidth="1"/>
    <col min="2051" max="2053" width="14.7109375" style="1" customWidth="1"/>
    <col min="2054" max="2054" width="17" style="1" customWidth="1"/>
    <col min="2055" max="2058" width="14.7109375" style="1" customWidth="1"/>
    <col min="2059" max="2059" width="16.7109375" style="1" customWidth="1"/>
    <col min="2060" max="2060" width="6.85546875" style="1" customWidth="1"/>
    <col min="2061" max="2061" width="7.42578125" style="1" customWidth="1"/>
    <col min="2062" max="2304" width="9.140625" style="1"/>
    <col min="2305" max="2305" width="6.7109375" style="1" customWidth="1"/>
    <col min="2306" max="2306" width="49.85546875" style="1" customWidth="1"/>
    <col min="2307" max="2309" width="14.7109375" style="1" customWidth="1"/>
    <col min="2310" max="2310" width="17" style="1" customWidth="1"/>
    <col min="2311" max="2314" width="14.7109375" style="1" customWidth="1"/>
    <col min="2315" max="2315" width="16.7109375" style="1" customWidth="1"/>
    <col min="2316" max="2316" width="6.85546875" style="1" customWidth="1"/>
    <col min="2317" max="2317" width="7.42578125" style="1" customWidth="1"/>
    <col min="2318" max="2560" width="9.140625" style="1"/>
    <col min="2561" max="2561" width="6.7109375" style="1" customWidth="1"/>
    <col min="2562" max="2562" width="49.85546875" style="1" customWidth="1"/>
    <col min="2563" max="2565" width="14.7109375" style="1" customWidth="1"/>
    <col min="2566" max="2566" width="17" style="1" customWidth="1"/>
    <col min="2567" max="2570" width="14.7109375" style="1" customWidth="1"/>
    <col min="2571" max="2571" width="16.7109375" style="1" customWidth="1"/>
    <col min="2572" max="2572" width="6.85546875" style="1" customWidth="1"/>
    <col min="2573" max="2573" width="7.42578125" style="1" customWidth="1"/>
    <col min="2574" max="2816" width="9.140625" style="1"/>
    <col min="2817" max="2817" width="6.7109375" style="1" customWidth="1"/>
    <col min="2818" max="2818" width="49.85546875" style="1" customWidth="1"/>
    <col min="2819" max="2821" width="14.7109375" style="1" customWidth="1"/>
    <col min="2822" max="2822" width="17" style="1" customWidth="1"/>
    <col min="2823" max="2826" width="14.7109375" style="1" customWidth="1"/>
    <col min="2827" max="2827" width="16.7109375" style="1" customWidth="1"/>
    <col min="2828" max="2828" width="6.85546875" style="1" customWidth="1"/>
    <col min="2829" max="2829" width="7.42578125" style="1" customWidth="1"/>
    <col min="2830" max="3072" width="9.140625" style="1"/>
    <col min="3073" max="3073" width="6.7109375" style="1" customWidth="1"/>
    <col min="3074" max="3074" width="49.85546875" style="1" customWidth="1"/>
    <col min="3075" max="3077" width="14.7109375" style="1" customWidth="1"/>
    <col min="3078" max="3078" width="17" style="1" customWidth="1"/>
    <col min="3079" max="3082" width="14.7109375" style="1" customWidth="1"/>
    <col min="3083" max="3083" width="16.7109375" style="1" customWidth="1"/>
    <col min="3084" max="3084" width="6.85546875" style="1" customWidth="1"/>
    <col min="3085" max="3085" width="7.42578125" style="1" customWidth="1"/>
    <col min="3086" max="3328" width="9.140625" style="1"/>
    <col min="3329" max="3329" width="6.7109375" style="1" customWidth="1"/>
    <col min="3330" max="3330" width="49.85546875" style="1" customWidth="1"/>
    <col min="3331" max="3333" width="14.7109375" style="1" customWidth="1"/>
    <col min="3334" max="3334" width="17" style="1" customWidth="1"/>
    <col min="3335" max="3338" width="14.7109375" style="1" customWidth="1"/>
    <col min="3339" max="3339" width="16.7109375" style="1" customWidth="1"/>
    <col min="3340" max="3340" width="6.85546875" style="1" customWidth="1"/>
    <col min="3341" max="3341" width="7.42578125" style="1" customWidth="1"/>
    <col min="3342" max="3584" width="9.140625" style="1"/>
    <col min="3585" max="3585" width="6.7109375" style="1" customWidth="1"/>
    <col min="3586" max="3586" width="49.85546875" style="1" customWidth="1"/>
    <col min="3587" max="3589" width="14.7109375" style="1" customWidth="1"/>
    <col min="3590" max="3590" width="17" style="1" customWidth="1"/>
    <col min="3591" max="3594" width="14.7109375" style="1" customWidth="1"/>
    <col min="3595" max="3595" width="16.7109375" style="1" customWidth="1"/>
    <col min="3596" max="3596" width="6.85546875" style="1" customWidth="1"/>
    <col min="3597" max="3597" width="7.42578125" style="1" customWidth="1"/>
    <col min="3598" max="3840" width="9.140625" style="1"/>
    <col min="3841" max="3841" width="6.7109375" style="1" customWidth="1"/>
    <col min="3842" max="3842" width="49.85546875" style="1" customWidth="1"/>
    <col min="3843" max="3845" width="14.7109375" style="1" customWidth="1"/>
    <col min="3846" max="3846" width="17" style="1" customWidth="1"/>
    <col min="3847" max="3850" width="14.7109375" style="1" customWidth="1"/>
    <col min="3851" max="3851" width="16.7109375" style="1" customWidth="1"/>
    <col min="3852" max="3852" width="6.85546875" style="1" customWidth="1"/>
    <col min="3853" max="3853" width="7.42578125" style="1" customWidth="1"/>
    <col min="3854" max="4096" width="9.140625" style="1"/>
    <col min="4097" max="4097" width="6.7109375" style="1" customWidth="1"/>
    <col min="4098" max="4098" width="49.85546875" style="1" customWidth="1"/>
    <col min="4099" max="4101" width="14.7109375" style="1" customWidth="1"/>
    <col min="4102" max="4102" width="17" style="1" customWidth="1"/>
    <col min="4103" max="4106" width="14.7109375" style="1" customWidth="1"/>
    <col min="4107" max="4107" width="16.7109375" style="1" customWidth="1"/>
    <col min="4108" max="4108" width="6.85546875" style="1" customWidth="1"/>
    <col min="4109" max="4109" width="7.42578125" style="1" customWidth="1"/>
    <col min="4110" max="4352" width="9.140625" style="1"/>
    <col min="4353" max="4353" width="6.7109375" style="1" customWidth="1"/>
    <col min="4354" max="4354" width="49.85546875" style="1" customWidth="1"/>
    <col min="4355" max="4357" width="14.7109375" style="1" customWidth="1"/>
    <col min="4358" max="4358" width="17" style="1" customWidth="1"/>
    <col min="4359" max="4362" width="14.7109375" style="1" customWidth="1"/>
    <col min="4363" max="4363" width="16.7109375" style="1" customWidth="1"/>
    <col min="4364" max="4364" width="6.85546875" style="1" customWidth="1"/>
    <col min="4365" max="4365" width="7.42578125" style="1" customWidth="1"/>
    <col min="4366" max="4608" width="9.140625" style="1"/>
    <col min="4609" max="4609" width="6.7109375" style="1" customWidth="1"/>
    <col min="4610" max="4610" width="49.85546875" style="1" customWidth="1"/>
    <col min="4611" max="4613" width="14.7109375" style="1" customWidth="1"/>
    <col min="4614" max="4614" width="17" style="1" customWidth="1"/>
    <col min="4615" max="4618" width="14.7109375" style="1" customWidth="1"/>
    <col min="4619" max="4619" width="16.7109375" style="1" customWidth="1"/>
    <col min="4620" max="4620" width="6.85546875" style="1" customWidth="1"/>
    <col min="4621" max="4621" width="7.42578125" style="1" customWidth="1"/>
    <col min="4622" max="4864" width="9.140625" style="1"/>
    <col min="4865" max="4865" width="6.7109375" style="1" customWidth="1"/>
    <col min="4866" max="4866" width="49.85546875" style="1" customWidth="1"/>
    <col min="4867" max="4869" width="14.7109375" style="1" customWidth="1"/>
    <col min="4870" max="4870" width="17" style="1" customWidth="1"/>
    <col min="4871" max="4874" width="14.7109375" style="1" customWidth="1"/>
    <col min="4875" max="4875" width="16.7109375" style="1" customWidth="1"/>
    <col min="4876" max="4876" width="6.85546875" style="1" customWidth="1"/>
    <col min="4877" max="4877" width="7.42578125" style="1" customWidth="1"/>
    <col min="4878" max="5120" width="9.140625" style="1"/>
    <col min="5121" max="5121" width="6.7109375" style="1" customWidth="1"/>
    <col min="5122" max="5122" width="49.85546875" style="1" customWidth="1"/>
    <col min="5123" max="5125" width="14.7109375" style="1" customWidth="1"/>
    <col min="5126" max="5126" width="17" style="1" customWidth="1"/>
    <col min="5127" max="5130" width="14.7109375" style="1" customWidth="1"/>
    <col min="5131" max="5131" width="16.7109375" style="1" customWidth="1"/>
    <col min="5132" max="5132" width="6.85546875" style="1" customWidth="1"/>
    <col min="5133" max="5133" width="7.42578125" style="1" customWidth="1"/>
    <col min="5134" max="5376" width="9.140625" style="1"/>
    <col min="5377" max="5377" width="6.7109375" style="1" customWidth="1"/>
    <col min="5378" max="5378" width="49.85546875" style="1" customWidth="1"/>
    <col min="5379" max="5381" width="14.7109375" style="1" customWidth="1"/>
    <col min="5382" max="5382" width="17" style="1" customWidth="1"/>
    <col min="5383" max="5386" width="14.7109375" style="1" customWidth="1"/>
    <col min="5387" max="5387" width="16.7109375" style="1" customWidth="1"/>
    <col min="5388" max="5388" width="6.85546875" style="1" customWidth="1"/>
    <col min="5389" max="5389" width="7.42578125" style="1" customWidth="1"/>
    <col min="5390" max="5632" width="9.140625" style="1"/>
    <col min="5633" max="5633" width="6.7109375" style="1" customWidth="1"/>
    <col min="5634" max="5634" width="49.85546875" style="1" customWidth="1"/>
    <col min="5635" max="5637" width="14.7109375" style="1" customWidth="1"/>
    <col min="5638" max="5638" width="17" style="1" customWidth="1"/>
    <col min="5639" max="5642" width="14.7109375" style="1" customWidth="1"/>
    <col min="5643" max="5643" width="16.7109375" style="1" customWidth="1"/>
    <col min="5644" max="5644" width="6.85546875" style="1" customWidth="1"/>
    <col min="5645" max="5645" width="7.42578125" style="1" customWidth="1"/>
    <col min="5646" max="5888" width="9.140625" style="1"/>
    <col min="5889" max="5889" width="6.7109375" style="1" customWidth="1"/>
    <col min="5890" max="5890" width="49.85546875" style="1" customWidth="1"/>
    <col min="5891" max="5893" width="14.7109375" style="1" customWidth="1"/>
    <col min="5894" max="5894" width="17" style="1" customWidth="1"/>
    <col min="5895" max="5898" width="14.7109375" style="1" customWidth="1"/>
    <col min="5899" max="5899" width="16.7109375" style="1" customWidth="1"/>
    <col min="5900" max="5900" width="6.85546875" style="1" customWidth="1"/>
    <col min="5901" max="5901" width="7.42578125" style="1" customWidth="1"/>
    <col min="5902" max="6144" width="9.140625" style="1"/>
    <col min="6145" max="6145" width="6.7109375" style="1" customWidth="1"/>
    <col min="6146" max="6146" width="49.85546875" style="1" customWidth="1"/>
    <col min="6147" max="6149" width="14.7109375" style="1" customWidth="1"/>
    <col min="6150" max="6150" width="17" style="1" customWidth="1"/>
    <col min="6151" max="6154" width="14.7109375" style="1" customWidth="1"/>
    <col min="6155" max="6155" width="16.7109375" style="1" customWidth="1"/>
    <col min="6156" max="6156" width="6.85546875" style="1" customWidth="1"/>
    <col min="6157" max="6157" width="7.42578125" style="1" customWidth="1"/>
    <col min="6158" max="6400" width="9.140625" style="1"/>
    <col min="6401" max="6401" width="6.7109375" style="1" customWidth="1"/>
    <col min="6402" max="6402" width="49.85546875" style="1" customWidth="1"/>
    <col min="6403" max="6405" width="14.7109375" style="1" customWidth="1"/>
    <col min="6406" max="6406" width="17" style="1" customWidth="1"/>
    <col min="6407" max="6410" width="14.7109375" style="1" customWidth="1"/>
    <col min="6411" max="6411" width="16.7109375" style="1" customWidth="1"/>
    <col min="6412" max="6412" width="6.85546875" style="1" customWidth="1"/>
    <col min="6413" max="6413" width="7.42578125" style="1" customWidth="1"/>
    <col min="6414" max="6656" width="9.140625" style="1"/>
    <col min="6657" max="6657" width="6.7109375" style="1" customWidth="1"/>
    <col min="6658" max="6658" width="49.85546875" style="1" customWidth="1"/>
    <col min="6659" max="6661" width="14.7109375" style="1" customWidth="1"/>
    <col min="6662" max="6662" width="17" style="1" customWidth="1"/>
    <col min="6663" max="6666" width="14.7109375" style="1" customWidth="1"/>
    <col min="6667" max="6667" width="16.7109375" style="1" customWidth="1"/>
    <col min="6668" max="6668" width="6.85546875" style="1" customWidth="1"/>
    <col min="6669" max="6669" width="7.42578125" style="1" customWidth="1"/>
    <col min="6670" max="6912" width="9.140625" style="1"/>
    <col min="6913" max="6913" width="6.7109375" style="1" customWidth="1"/>
    <col min="6914" max="6914" width="49.85546875" style="1" customWidth="1"/>
    <col min="6915" max="6917" width="14.7109375" style="1" customWidth="1"/>
    <col min="6918" max="6918" width="17" style="1" customWidth="1"/>
    <col min="6919" max="6922" width="14.7109375" style="1" customWidth="1"/>
    <col min="6923" max="6923" width="16.7109375" style="1" customWidth="1"/>
    <col min="6924" max="6924" width="6.85546875" style="1" customWidth="1"/>
    <col min="6925" max="6925" width="7.42578125" style="1" customWidth="1"/>
    <col min="6926" max="7168" width="9.140625" style="1"/>
    <col min="7169" max="7169" width="6.7109375" style="1" customWidth="1"/>
    <col min="7170" max="7170" width="49.85546875" style="1" customWidth="1"/>
    <col min="7171" max="7173" width="14.7109375" style="1" customWidth="1"/>
    <col min="7174" max="7174" width="17" style="1" customWidth="1"/>
    <col min="7175" max="7178" width="14.7109375" style="1" customWidth="1"/>
    <col min="7179" max="7179" width="16.7109375" style="1" customWidth="1"/>
    <col min="7180" max="7180" width="6.85546875" style="1" customWidth="1"/>
    <col min="7181" max="7181" width="7.42578125" style="1" customWidth="1"/>
    <col min="7182" max="7424" width="9.140625" style="1"/>
    <col min="7425" max="7425" width="6.7109375" style="1" customWidth="1"/>
    <col min="7426" max="7426" width="49.85546875" style="1" customWidth="1"/>
    <col min="7427" max="7429" width="14.7109375" style="1" customWidth="1"/>
    <col min="7430" max="7430" width="17" style="1" customWidth="1"/>
    <col min="7431" max="7434" width="14.7109375" style="1" customWidth="1"/>
    <col min="7435" max="7435" width="16.7109375" style="1" customWidth="1"/>
    <col min="7436" max="7436" width="6.85546875" style="1" customWidth="1"/>
    <col min="7437" max="7437" width="7.42578125" style="1" customWidth="1"/>
    <col min="7438" max="7680" width="9.140625" style="1"/>
    <col min="7681" max="7681" width="6.7109375" style="1" customWidth="1"/>
    <col min="7682" max="7682" width="49.85546875" style="1" customWidth="1"/>
    <col min="7683" max="7685" width="14.7109375" style="1" customWidth="1"/>
    <col min="7686" max="7686" width="17" style="1" customWidth="1"/>
    <col min="7687" max="7690" width="14.7109375" style="1" customWidth="1"/>
    <col min="7691" max="7691" width="16.7109375" style="1" customWidth="1"/>
    <col min="7692" max="7692" width="6.85546875" style="1" customWidth="1"/>
    <col min="7693" max="7693" width="7.42578125" style="1" customWidth="1"/>
    <col min="7694" max="7936" width="9.140625" style="1"/>
    <col min="7937" max="7937" width="6.7109375" style="1" customWidth="1"/>
    <col min="7938" max="7938" width="49.85546875" style="1" customWidth="1"/>
    <col min="7939" max="7941" width="14.7109375" style="1" customWidth="1"/>
    <col min="7942" max="7942" width="17" style="1" customWidth="1"/>
    <col min="7943" max="7946" width="14.7109375" style="1" customWidth="1"/>
    <col min="7947" max="7947" width="16.7109375" style="1" customWidth="1"/>
    <col min="7948" max="7948" width="6.85546875" style="1" customWidth="1"/>
    <col min="7949" max="7949" width="7.42578125" style="1" customWidth="1"/>
    <col min="7950" max="8192" width="9.140625" style="1"/>
    <col min="8193" max="8193" width="6.7109375" style="1" customWidth="1"/>
    <col min="8194" max="8194" width="49.85546875" style="1" customWidth="1"/>
    <col min="8195" max="8197" width="14.7109375" style="1" customWidth="1"/>
    <col min="8198" max="8198" width="17" style="1" customWidth="1"/>
    <col min="8199" max="8202" width="14.7109375" style="1" customWidth="1"/>
    <col min="8203" max="8203" width="16.7109375" style="1" customWidth="1"/>
    <col min="8204" max="8204" width="6.85546875" style="1" customWidth="1"/>
    <col min="8205" max="8205" width="7.42578125" style="1" customWidth="1"/>
    <col min="8206" max="8448" width="9.140625" style="1"/>
    <col min="8449" max="8449" width="6.7109375" style="1" customWidth="1"/>
    <col min="8450" max="8450" width="49.85546875" style="1" customWidth="1"/>
    <col min="8451" max="8453" width="14.7109375" style="1" customWidth="1"/>
    <col min="8454" max="8454" width="17" style="1" customWidth="1"/>
    <col min="8455" max="8458" width="14.7109375" style="1" customWidth="1"/>
    <col min="8459" max="8459" width="16.7109375" style="1" customWidth="1"/>
    <col min="8460" max="8460" width="6.85546875" style="1" customWidth="1"/>
    <col min="8461" max="8461" width="7.42578125" style="1" customWidth="1"/>
    <col min="8462" max="8704" width="9.140625" style="1"/>
    <col min="8705" max="8705" width="6.7109375" style="1" customWidth="1"/>
    <col min="8706" max="8706" width="49.85546875" style="1" customWidth="1"/>
    <col min="8707" max="8709" width="14.7109375" style="1" customWidth="1"/>
    <col min="8710" max="8710" width="17" style="1" customWidth="1"/>
    <col min="8711" max="8714" width="14.7109375" style="1" customWidth="1"/>
    <col min="8715" max="8715" width="16.7109375" style="1" customWidth="1"/>
    <col min="8716" max="8716" width="6.85546875" style="1" customWidth="1"/>
    <col min="8717" max="8717" width="7.42578125" style="1" customWidth="1"/>
    <col min="8718" max="8960" width="9.140625" style="1"/>
    <col min="8961" max="8961" width="6.7109375" style="1" customWidth="1"/>
    <col min="8962" max="8962" width="49.85546875" style="1" customWidth="1"/>
    <col min="8963" max="8965" width="14.7109375" style="1" customWidth="1"/>
    <col min="8966" max="8966" width="17" style="1" customWidth="1"/>
    <col min="8967" max="8970" width="14.7109375" style="1" customWidth="1"/>
    <col min="8971" max="8971" width="16.7109375" style="1" customWidth="1"/>
    <col min="8972" max="8972" width="6.85546875" style="1" customWidth="1"/>
    <col min="8973" max="8973" width="7.42578125" style="1" customWidth="1"/>
    <col min="8974" max="9216" width="9.140625" style="1"/>
    <col min="9217" max="9217" width="6.7109375" style="1" customWidth="1"/>
    <col min="9218" max="9218" width="49.85546875" style="1" customWidth="1"/>
    <col min="9219" max="9221" width="14.7109375" style="1" customWidth="1"/>
    <col min="9222" max="9222" width="17" style="1" customWidth="1"/>
    <col min="9223" max="9226" width="14.7109375" style="1" customWidth="1"/>
    <col min="9227" max="9227" width="16.7109375" style="1" customWidth="1"/>
    <col min="9228" max="9228" width="6.85546875" style="1" customWidth="1"/>
    <col min="9229" max="9229" width="7.42578125" style="1" customWidth="1"/>
    <col min="9230" max="9472" width="9.140625" style="1"/>
    <col min="9473" max="9473" width="6.7109375" style="1" customWidth="1"/>
    <col min="9474" max="9474" width="49.85546875" style="1" customWidth="1"/>
    <col min="9475" max="9477" width="14.7109375" style="1" customWidth="1"/>
    <col min="9478" max="9478" width="17" style="1" customWidth="1"/>
    <col min="9479" max="9482" width="14.7109375" style="1" customWidth="1"/>
    <col min="9483" max="9483" width="16.7109375" style="1" customWidth="1"/>
    <col min="9484" max="9484" width="6.85546875" style="1" customWidth="1"/>
    <col min="9485" max="9485" width="7.42578125" style="1" customWidth="1"/>
    <col min="9486" max="9728" width="9.140625" style="1"/>
    <col min="9729" max="9729" width="6.7109375" style="1" customWidth="1"/>
    <col min="9730" max="9730" width="49.85546875" style="1" customWidth="1"/>
    <col min="9731" max="9733" width="14.7109375" style="1" customWidth="1"/>
    <col min="9734" max="9734" width="17" style="1" customWidth="1"/>
    <col min="9735" max="9738" width="14.7109375" style="1" customWidth="1"/>
    <col min="9739" max="9739" width="16.7109375" style="1" customWidth="1"/>
    <col min="9740" max="9740" width="6.85546875" style="1" customWidth="1"/>
    <col min="9741" max="9741" width="7.42578125" style="1" customWidth="1"/>
    <col min="9742" max="9984" width="9.140625" style="1"/>
    <col min="9985" max="9985" width="6.7109375" style="1" customWidth="1"/>
    <col min="9986" max="9986" width="49.85546875" style="1" customWidth="1"/>
    <col min="9987" max="9989" width="14.7109375" style="1" customWidth="1"/>
    <col min="9990" max="9990" width="17" style="1" customWidth="1"/>
    <col min="9991" max="9994" width="14.7109375" style="1" customWidth="1"/>
    <col min="9995" max="9995" width="16.7109375" style="1" customWidth="1"/>
    <col min="9996" max="9996" width="6.85546875" style="1" customWidth="1"/>
    <col min="9997" max="9997" width="7.42578125" style="1" customWidth="1"/>
    <col min="9998" max="10240" width="9.140625" style="1"/>
    <col min="10241" max="10241" width="6.7109375" style="1" customWidth="1"/>
    <col min="10242" max="10242" width="49.85546875" style="1" customWidth="1"/>
    <col min="10243" max="10245" width="14.7109375" style="1" customWidth="1"/>
    <col min="10246" max="10246" width="17" style="1" customWidth="1"/>
    <col min="10247" max="10250" width="14.7109375" style="1" customWidth="1"/>
    <col min="10251" max="10251" width="16.7109375" style="1" customWidth="1"/>
    <col min="10252" max="10252" width="6.85546875" style="1" customWidth="1"/>
    <col min="10253" max="10253" width="7.42578125" style="1" customWidth="1"/>
    <col min="10254" max="10496" width="9.140625" style="1"/>
    <col min="10497" max="10497" width="6.7109375" style="1" customWidth="1"/>
    <col min="10498" max="10498" width="49.85546875" style="1" customWidth="1"/>
    <col min="10499" max="10501" width="14.7109375" style="1" customWidth="1"/>
    <col min="10502" max="10502" width="17" style="1" customWidth="1"/>
    <col min="10503" max="10506" width="14.7109375" style="1" customWidth="1"/>
    <col min="10507" max="10507" width="16.7109375" style="1" customWidth="1"/>
    <col min="10508" max="10508" width="6.85546875" style="1" customWidth="1"/>
    <col min="10509" max="10509" width="7.42578125" style="1" customWidth="1"/>
    <col min="10510" max="10752" width="9.140625" style="1"/>
    <col min="10753" max="10753" width="6.7109375" style="1" customWidth="1"/>
    <col min="10754" max="10754" width="49.85546875" style="1" customWidth="1"/>
    <col min="10755" max="10757" width="14.7109375" style="1" customWidth="1"/>
    <col min="10758" max="10758" width="17" style="1" customWidth="1"/>
    <col min="10759" max="10762" width="14.7109375" style="1" customWidth="1"/>
    <col min="10763" max="10763" width="16.7109375" style="1" customWidth="1"/>
    <col min="10764" max="10764" width="6.85546875" style="1" customWidth="1"/>
    <col min="10765" max="10765" width="7.42578125" style="1" customWidth="1"/>
    <col min="10766" max="11008" width="9.140625" style="1"/>
    <col min="11009" max="11009" width="6.7109375" style="1" customWidth="1"/>
    <col min="11010" max="11010" width="49.85546875" style="1" customWidth="1"/>
    <col min="11011" max="11013" width="14.7109375" style="1" customWidth="1"/>
    <col min="11014" max="11014" width="17" style="1" customWidth="1"/>
    <col min="11015" max="11018" width="14.7109375" style="1" customWidth="1"/>
    <col min="11019" max="11019" width="16.7109375" style="1" customWidth="1"/>
    <col min="11020" max="11020" width="6.85546875" style="1" customWidth="1"/>
    <col min="11021" max="11021" width="7.42578125" style="1" customWidth="1"/>
    <col min="11022" max="11264" width="9.140625" style="1"/>
    <col min="11265" max="11265" width="6.7109375" style="1" customWidth="1"/>
    <col min="11266" max="11266" width="49.85546875" style="1" customWidth="1"/>
    <col min="11267" max="11269" width="14.7109375" style="1" customWidth="1"/>
    <col min="11270" max="11270" width="17" style="1" customWidth="1"/>
    <col min="11271" max="11274" width="14.7109375" style="1" customWidth="1"/>
    <col min="11275" max="11275" width="16.7109375" style="1" customWidth="1"/>
    <col min="11276" max="11276" width="6.85546875" style="1" customWidth="1"/>
    <col min="11277" max="11277" width="7.42578125" style="1" customWidth="1"/>
    <col min="11278" max="11520" width="9.140625" style="1"/>
    <col min="11521" max="11521" width="6.7109375" style="1" customWidth="1"/>
    <col min="11522" max="11522" width="49.85546875" style="1" customWidth="1"/>
    <col min="11523" max="11525" width="14.7109375" style="1" customWidth="1"/>
    <col min="11526" max="11526" width="17" style="1" customWidth="1"/>
    <col min="11527" max="11530" width="14.7109375" style="1" customWidth="1"/>
    <col min="11531" max="11531" width="16.7109375" style="1" customWidth="1"/>
    <col min="11532" max="11532" width="6.85546875" style="1" customWidth="1"/>
    <col min="11533" max="11533" width="7.42578125" style="1" customWidth="1"/>
    <col min="11534" max="11776" width="9.140625" style="1"/>
    <col min="11777" max="11777" width="6.7109375" style="1" customWidth="1"/>
    <col min="11778" max="11778" width="49.85546875" style="1" customWidth="1"/>
    <col min="11779" max="11781" width="14.7109375" style="1" customWidth="1"/>
    <col min="11782" max="11782" width="17" style="1" customWidth="1"/>
    <col min="11783" max="11786" width="14.7109375" style="1" customWidth="1"/>
    <col min="11787" max="11787" width="16.7109375" style="1" customWidth="1"/>
    <col min="11788" max="11788" width="6.85546875" style="1" customWidth="1"/>
    <col min="11789" max="11789" width="7.42578125" style="1" customWidth="1"/>
    <col min="11790" max="12032" width="9.140625" style="1"/>
    <col min="12033" max="12033" width="6.7109375" style="1" customWidth="1"/>
    <col min="12034" max="12034" width="49.85546875" style="1" customWidth="1"/>
    <col min="12035" max="12037" width="14.7109375" style="1" customWidth="1"/>
    <col min="12038" max="12038" width="17" style="1" customWidth="1"/>
    <col min="12039" max="12042" width="14.7109375" style="1" customWidth="1"/>
    <col min="12043" max="12043" width="16.7109375" style="1" customWidth="1"/>
    <col min="12044" max="12044" width="6.85546875" style="1" customWidth="1"/>
    <col min="12045" max="12045" width="7.42578125" style="1" customWidth="1"/>
    <col min="12046" max="12288" width="9.140625" style="1"/>
    <col min="12289" max="12289" width="6.7109375" style="1" customWidth="1"/>
    <col min="12290" max="12290" width="49.85546875" style="1" customWidth="1"/>
    <col min="12291" max="12293" width="14.7109375" style="1" customWidth="1"/>
    <col min="12294" max="12294" width="17" style="1" customWidth="1"/>
    <col min="12295" max="12298" width="14.7109375" style="1" customWidth="1"/>
    <col min="12299" max="12299" width="16.7109375" style="1" customWidth="1"/>
    <col min="12300" max="12300" width="6.85546875" style="1" customWidth="1"/>
    <col min="12301" max="12301" width="7.42578125" style="1" customWidth="1"/>
    <col min="12302" max="12544" width="9.140625" style="1"/>
    <col min="12545" max="12545" width="6.7109375" style="1" customWidth="1"/>
    <col min="12546" max="12546" width="49.85546875" style="1" customWidth="1"/>
    <col min="12547" max="12549" width="14.7109375" style="1" customWidth="1"/>
    <col min="12550" max="12550" width="17" style="1" customWidth="1"/>
    <col min="12551" max="12554" width="14.7109375" style="1" customWidth="1"/>
    <col min="12555" max="12555" width="16.7109375" style="1" customWidth="1"/>
    <col min="12556" max="12556" width="6.85546875" style="1" customWidth="1"/>
    <col min="12557" max="12557" width="7.42578125" style="1" customWidth="1"/>
    <col min="12558" max="12800" width="9.140625" style="1"/>
    <col min="12801" max="12801" width="6.7109375" style="1" customWidth="1"/>
    <col min="12802" max="12802" width="49.85546875" style="1" customWidth="1"/>
    <col min="12803" max="12805" width="14.7109375" style="1" customWidth="1"/>
    <col min="12806" max="12806" width="17" style="1" customWidth="1"/>
    <col min="12807" max="12810" width="14.7109375" style="1" customWidth="1"/>
    <col min="12811" max="12811" width="16.7109375" style="1" customWidth="1"/>
    <col min="12812" max="12812" width="6.85546875" style="1" customWidth="1"/>
    <col min="12813" max="12813" width="7.42578125" style="1" customWidth="1"/>
    <col min="12814" max="13056" width="9.140625" style="1"/>
    <col min="13057" max="13057" width="6.7109375" style="1" customWidth="1"/>
    <col min="13058" max="13058" width="49.85546875" style="1" customWidth="1"/>
    <col min="13059" max="13061" width="14.7109375" style="1" customWidth="1"/>
    <col min="13062" max="13062" width="17" style="1" customWidth="1"/>
    <col min="13063" max="13066" width="14.7109375" style="1" customWidth="1"/>
    <col min="13067" max="13067" width="16.7109375" style="1" customWidth="1"/>
    <col min="13068" max="13068" width="6.85546875" style="1" customWidth="1"/>
    <col min="13069" max="13069" width="7.42578125" style="1" customWidth="1"/>
    <col min="13070" max="13312" width="9.140625" style="1"/>
    <col min="13313" max="13313" width="6.7109375" style="1" customWidth="1"/>
    <col min="13314" max="13314" width="49.85546875" style="1" customWidth="1"/>
    <col min="13315" max="13317" width="14.7109375" style="1" customWidth="1"/>
    <col min="13318" max="13318" width="17" style="1" customWidth="1"/>
    <col min="13319" max="13322" width="14.7109375" style="1" customWidth="1"/>
    <col min="13323" max="13323" width="16.7109375" style="1" customWidth="1"/>
    <col min="13324" max="13324" width="6.85546875" style="1" customWidth="1"/>
    <col min="13325" max="13325" width="7.42578125" style="1" customWidth="1"/>
    <col min="13326" max="13568" width="9.140625" style="1"/>
    <col min="13569" max="13569" width="6.7109375" style="1" customWidth="1"/>
    <col min="13570" max="13570" width="49.85546875" style="1" customWidth="1"/>
    <col min="13571" max="13573" width="14.7109375" style="1" customWidth="1"/>
    <col min="13574" max="13574" width="17" style="1" customWidth="1"/>
    <col min="13575" max="13578" width="14.7109375" style="1" customWidth="1"/>
    <col min="13579" max="13579" width="16.7109375" style="1" customWidth="1"/>
    <col min="13580" max="13580" width="6.85546875" style="1" customWidth="1"/>
    <col min="13581" max="13581" width="7.42578125" style="1" customWidth="1"/>
    <col min="13582" max="13824" width="9.140625" style="1"/>
    <col min="13825" max="13825" width="6.7109375" style="1" customWidth="1"/>
    <col min="13826" max="13826" width="49.85546875" style="1" customWidth="1"/>
    <col min="13827" max="13829" width="14.7109375" style="1" customWidth="1"/>
    <col min="13830" max="13830" width="17" style="1" customWidth="1"/>
    <col min="13831" max="13834" width="14.7109375" style="1" customWidth="1"/>
    <col min="13835" max="13835" width="16.7109375" style="1" customWidth="1"/>
    <col min="13836" max="13836" width="6.85546875" style="1" customWidth="1"/>
    <col min="13837" max="13837" width="7.42578125" style="1" customWidth="1"/>
    <col min="13838" max="14080" width="9.140625" style="1"/>
    <col min="14081" max="14081" width="6.7109375" style="1" customWidth="1"/>
    <col min="14082" max="14082" width="49.85546875" style="1" customWidth="1"/>
    <col min="14083" max="14085" width="14.7109375" style="1" customWidth="1"/>
    <col min="14086" max="14086" width="17" style="1" customWidth="1"/>
    <col min="14087" max="14090" width="14.7109375" style="1" customWidth="1"/>
    <col min="14091" max="14091" width="16.7109375" style="1" customWidth="1"/>
    <col min="14092" max="14092" width="6.85546875" style="1" customWidth="1"/>
    <col min="14093" max="14093" width="7.42578125" style="1" customWidth="1"/>
    <col min="14094" max="14336" width="9.140625" style="1"/>
    <col min="14337" max="14337" width="6.7109375" style="1" customWidth="1"/>
    <col min="14338" max="14338" width="49.85546875" style="1" customWidth="1"/>
    <col min="14339" max="14341" width="14.7109375" style="1" customWidth="1"/>
    <col min="14342" max="14342" width="17" style="1" customWidth="1"/>
    <col min="14343" max="14346" width="14.7109375" style="1" customWidth="1"/>
    <col min="14347" max="14347" width="16.7109375" style="1" customWidth="1"/>
    <col min="14348" max="14348" width="6.85546875" style="1" customWidth="1"/>
    <col min="14349" max="14349" width="7.42578125" style="1" customWidth="1"/>
    <col min="14350" max="14592" width="9.140625" style="1"/>
    <col min="14593" max="14593" width="6.7109375" style="1" customWidth="1"/>
    <col min="14594" max="14594" width="49.85546875" style="1" customWidth="1"/>
    <col min="14595" max="14597" width="14.7109375" style="1" customWidth="1"/>
    <col min="14598" max="14598" width="17" style="1" customWidth="1"/>
    <col min="14599" max="14602" width="14.7109375" style="1" customWidth="1"/>
    <col min="14603" max="14603" width="16.7109375" style="1" customWidth="1"/>
    <col min="14604" max="14604" width="6.85546875" style="1" customWidth="1"/>
    <col min="14605" max="14605" width="7.42578125" style="1" customWidth="1"/>
    <col min="14606" max="14848" width="9.140625" style="1"/>
    <col min="14849" max="14849" width="6.7109375" style="1" customWidth="1"/>
    <col min="14850" max="14850" width="49.85546875" style="1" customWidth="1"/>
    <col min="14851" max="14853" width="14.7109375" style="1" customWidth="1"/>
    <col min="14854" max="14854" width="17" style="1" customWidth="1"/>
    <col min="14855" max="14858" width="14.7109375" style="1" customWidth="1"/>
    <col min="14859" max="14859" width="16.7109375" style="1" customWidth="1"/>
    <col min="14860" max="14860" width="6.85546875" style="1" customWidth="1"/>
    <col min="14861" max="14861" width="7.42578125" style="1" customWidth="1"/>
    <col min="14862" max="15104" width="9.140625" style="1"/>
    <col min="15105" max="15105" width="6.7109375" style="1" customWidth="1"/>
    <col min="15106" max="15106" width="49.85546875" style="1" customWidth="1"/>
    <col min="15107" max="15109" width="14.7109375" style="1" customWidth="1"/>
    <col min="15110" max="15110" width="17" style="1" customWidth="1"/>
    <col min="15111" max="15114" width="14.7109375" style="1" customWidth="1"/>
    <col min="15115" max="15115" width="16.7109375" style="1" customWidth="1"/>
    <col min="15116" max="15116" width="6.85546875" style="1" customWidth="1"/>
    <col min="15117" max="15117" width="7.42578125" style="1" customWidth="1"/>
    <col min="15118" max="15360" width="9.140625" style="1"/>
    <col min="15361" max="15361" width="6.7109375" style="1" customWidth="1"/>
    <col min="15362" max="15362" width="49.85546875" style="1" customWidth="1"/>
    <col min="15363" max="15365" width="14.7109375" style="1" customWidth="1"/>
    <col min="15366" max="15366" width="17" style="1" customWidth="1"/>
    <col min="15367" max="15370" width="14.7109375" style="1" customWidth="1"/>
    <col min="15371" max="15371" width="16.7109375" style="1" customWidth="1"/>
    <col min="15372" max="15372" width="6.85546875" style="1" customWidth="1"/>
    <col min="15373" max="15373" width="7.42578125" style="1" customWidth="1"/>
    <col min="15374" max="15616" width="9.140625" style="1"/>
    <col min="15617" max="15617" width="6.7109375" style="1" customWidth="1"/>
    <col min="15618" max="15618" width="49.85546875" style="1" customWidth="1"/>
    <col min="15619" max="15621" width="14.7109375" style="1" customWidth="1"/>
    <col min="15622" max="15622" width="17" style="1" customWidth="1"/>
    <col min="15623" max="15626" width="14.7109375" style="1" customWidth="1"/>
    <col min="15627" max="15627" width="16.7109375" style="1" customWidth="1"/>
    <col min="15628" max="15628" width="6.85546875" style="1" customWidth="1"/>
    <col min="15629" max="15629" width="7.42578125" style="1" customWidth="1"/>
    <col min="15630" max="15872" width="9.140625" style="1"/>
    <col min="15873" max="15873" width="6.7109375" style="1" customWidth="1"/>
    <col min="15874" max="15874" width="49.85546875" style="1" customWidth="1"/>
    <col min="15875" max="15877" width="14.7109375" style="1" customWidth="1"/>
    <col min="15878" max="15878" width="17" style="1" customWidth="1"/>
    <col min="15879" max="15882" width="14.7109375" style="1" customWidth="1"/>
    <col min="15883" max="15883" width="16.7109375" style="1" customWidth="1"/>
    <col min="15884" max="15884" width="6.85546875" style="1" customWidth="1"/>
    <col min="15885" max="15885" width="7.42578125" style="1" customWidth="1"/>
    <col min="15886" max="16128" width="9.140625" style="1"/>
    <col min="16129" max="16129" width="6.7109375" style="1" customWidth="1"/>
    <col min="16130" max="16130" width="49.85546875" style="1" customWidth="1"/>
    <col min="16131" max="16133" width="14.7109375" style="1" customWidth="1"/>
    <col min="16134" max="16134" width="17" style="1" customWidth="1"/>
    <col min="16135" max="16138" width="14.7109375" style="1" customWidth="1"/>
    <col min="16139" max="16139" width="16.7109375" style="1" customWidth="1"/>
    <col min="16140" max="16140" width="6.85546875" style="1" customWidth="1"/>
    <col min="16141" max="16141" width="7.42578125" style="1" customWidth="1"/>
    <col min="16142" max="16384" width="9.140625" style="1"/>
  </cols>
  <sheetData>
    <row r="1" spans="1:14" ht="15" x14ac:dyDescent="0.25">
      <c r="M1" s="6"/>
    </row>
    <row r="2" spans="1:14" ht="20.100000000000001" customHeight="1" x14ac:dyDescent="0.35">
      <c r="A2" s="1303" t="s">
        <v>508</v>
      </c>
      <c r="B2" s="1303"/>
      <c r="C2" s="1303"/>
      <c r="D2" s="1303"/>
      <c r="E2" s="1303"/>
      <c r="F2" s="1303"/>
      <c r="G2" s="1303"/>
      <c r="H2" s="1303"/>
      <c r="I2" s="1303"/>
      <c r="J2" s="1303"/>
      <c r="K2" s="1303"/>
      <c r="L2" s="1303"/>
      <c r="M2" s="1303"/>
      <c r="N2" s="29"/>
    </row>
    <row r="3" spans="1:14" ht="15" customHeight="1" x14ac:dyDescent="0.2"/>
    <row r="4" spans="1:14" ht="20.100000000000001" customHeight="1" x14ac:dyDescent="0.3">
      <c r="A4" s="100" t="s">
        <v>237</v>
      </c>
      <c r="B4" s="7"/>
      <c r="L4" s="8"/>
    </row>
    <row r="5" spans="1:14" ht="15" customHeight="1" thickBot="1" x14ac:dyDescent="0.35">
      <c r="A5" s="7"/>
      <c r="M5" s="8" t="s">
        <v>0</v>
      </c>
    </row>
    <row r="6" spans="1:14" s="62" customFormat="1" ht="15.95" customHeight="1" x14ac:dyDescent="0.15">
      <c r="A6" s="1305" t="s">
        <v>88</v>
      </c>
      <c r="B6" s="1314" t="s">
        <v>103</v>
      </c>
      <c r="C6" s="1198" t="s">
        <v>365</v>
      </c>
      <c r="D6" s="1199"/>
      <c r="E6" s="1198" t="s">
        <v>440</v>
      </c>
      <c r="F6" s="1202"/>
      <c r="G6" s="1199"/>
      <c r="H6" s="1307" t="s">
        <v>507</v>
      </c>
      <c r="I6" s="1308"/>
      <c r="J6" s="1308"/>
      <c r="K6" s="1309"/>
      <c r="L6" s="1310" t="s">
        <v>509</v>
      </c>
      <c r="M6" s="1312" t="s">
        <v>510</v>
      </c>
    </row>
    <row r="7" spans="1:14" s="62" customFormat="1" ht="27" customHeight="1" thickBot="1" x14ac:dyDescent="0.2">
      <c r="A7" s="1306"/>
      <c r="B7" s="1316"/>
      <c r="C7" s="177" t="s">
        <v>108</v>
      </c>
      <c r="D7" s="178" t="s">
        <v>126</v>
      </c>
      <c r="E7" s="264" t="s">
        <v>109</v>
      </c>
      <c r="F7" s="265" t="s">
        <v>589</v>
      </c>
      <c r="G7" s="266" t="s">
        <v>591</v>
      </c>
      <c r="H7" s="824" t="s">
        <v>124</v>
      </c>
      <c r="I7" s="825" t="s">
        <v>125</v>
      </c>
      <c r="J7" s="826" t="s">
        <v>314</v>
      </c>
      <c r="K7" s="821" t="s">
        <v>85</v>
      </c>
      <c r="L7" s="1311"/>
      <c r="M7" s="1313"/>
    </row>
    <row r="8" spans="1:14" s="9" customFormat="1" ht="20.100000000000001" customHeight="1" thickBot="1" x14ac:dyDescent="0.3">
      <c r="B8" s="10" t="s">
        <v>104</v>
      </c>
      <c r="C8" s="11"/>
      <c r="D8" s="12"/>
      <c r="E8" s="11"/>
      <c r="F8" s="13"/>
      <c r="G8" s="13"/>
      <c r="H8" s="13"/>
      <c r="I8" s="13"/>
      <c r="J8" s="13"/>
      <c r="K8" s="268"/>
      <c r="L8" s="16"/>
      <c r="M8" s="16"/>
    </row>
    <row r="9" spans="1:14" s="19" customFormat="1" ht="20.100000000000001" customHeight="1" x14ac:dyDescent="0.25">
      <c r="A9" s="541">
        <v>2212</v>
      </c>
      <c r="B9" s="596" t="s">
        <v>111</v>
      </c>
      <c r="C9" s="542">
        <v>150</v>
      </c>
      <c r="D9" s="543">
        <v>214.85</v>
      </c>
      <c r="E9" s="544">
        <v>150</v>
      </c>
      <c r="F9" s="545">
        <v>944.47</v>
      </c>
      <c r="G9" s="546">
        <v>780.45</v>
      </c>
      <c r="H9" s="542">
        <v>500</v>
      </c>
      <c r="I9" s="1026">
        <v>70</v>
      </c>
      <c r="J9" s="1030">
        <v>30</v>
      </c>
      <c r="K9" s="961">
        <f>SUM(H9:J9)</f>
        <v>600</v>
      </c>
      <c r="L9" s="441">
        <f t="shared" ref="L9:L12" si="0">K9/E9*100</f>
        <v>400</v>
      </c>
      <c r="M9" s="442">
        <f t="shared" ref="M9" si="1">K9/F9*100</f>
        <v>63.527692780077714</v>
      </c>
      <c r="N9" s="18"/>
    </row>
    <row r="10" spans="1:14" s="19" customFormat="1" ht="20.100000000000001" customHeight="1" x14ac:dyDescent="0.25">
      <c r="A10" s="547">
        <v>3121</v>
      </c>
      <c r="B10" s="595" t="s">
        <v>115</v>
      </c>
      <c r="C10" s="477">
        <v>80</v>
      </c>
      <c r="D10" s="478">
        <v>0</v>
      </c>
      <c r="E10" s="501">
        <v>80</v>
      </c>
      <c r="F10" s="479">
        <v>0</v>
      </c>
      <c r="G10" s="480">
        <v>0</v>
      </c>
      <c r="H10" s="477">
        <v>0</v>
      </c>
      <c r="I10" s="1023">
        <v>0</v>
      </c>
      <c r="J10" s="1031">
        <v>0</v>
      </c>
      <c r="K10" s="962">
        <f t="shared" ref="K10:K17" si="2">SUM(H10:J10)</f>
        <v>0</v>
      </c>
      <c r="L10" s="451">
        <f t="shared" si="0"/>
        <v>0</v>
      </c>
      <c r="M10" s="452" t="s">
        <v>60</v>
      </c>
      <c r="N10" s="18"/>
    </row>
    <row r="11" spans="1:14" s="19" customFormat="1" ht="20.100000000000001" customHeight="1" x14ac:dyDescent="0.25">
      <c r="A11" s="547">
        <v>3122</v>
      </c>
      <c r="B11" s="595" t="s">
        <v>116</v>
      </c>
      <c r="C11" s="477">
        <v>80</v>
      </c>
      <c r="D11" s="478">
        <v>0</v>
      </c>
      <c r="E11" s="501">
        <v>80</v>
      </c>
      <c r="F11" s="479">
        <v>0</v>
      </c>
      <c r="G11" s="480">
        <v>0</v>
      </c>
      <c r="H11" s="477">
        <v>0</v>
      </c>
      <c r="I11" s="1023">
        <v>0</v>
      </c>
      <c r="J11" s="1031">
        <v>0</v>
      </c>
      <c r="K11" s="962">
        <f t="shared" si="2"/>
        <v>0</v>
      </c>
      <c r="L11" s="451">
        <f t="shared" si="0"/>
        <v>0</v>
      </c>
      <c r="M11" s="452" t="s">
        <v>60</v>
      </c>
      <c r="N11" s="18"/>
    </row>
    <row r="12" spans="1:14" s="19" customFormat="1" ht="30" customHeight="1" x14ac:dyDescent="0.25">
      <c r="A12" s="547">
        <v>3123</v>
      </c>
      <c r="B12" s="595" t="s">
        <v>130</v>
      </c>
      <c r="C12" s="477">
        <v>80</v>
      </c>
      <c r="D12" s="478">
        <v>0</v>
      </c>
      <c r="E12" s="501">
        <v>80</v>
      </c>
      <c r="F12" s="479">
        <v>0</v>
      </c>
      <c r="G12" s="480">
        <v>0</v>
      </c>
      <c r="H12" s="477">
        <v>0</v>
      </c>
      <c r="I12" s="1023">
        <v>0</v>
      </c>
      <c r="J12" s="1031">
        <v>0</v>
      </c>
      <c r="K12" s="962">
        <f t="shared" si="2"/>
        <v>0</v>
      </c>
      <c r="L12" s="451">
        <f t="shared" si="0"/>
        <v>0</v>
      </c>
      <c r="M12" s="452" t="s">
        <v>60</v>
      </c>
      <c r="N12" s="18"/>
    </row>
    <row r="13" spans="1:14" s="19" customFormat="1" ht="20.100000000000001" customHeight="1" x14ac:dyDescent="0.25">
      <c r="A13" s="547">
        <v>3315</v>
      </c>
      <c r="B13" s="595" t="s">
        <v>339</v>
      </c>
      <c r="C13" s="477">
        <v>80</v>
      </c>
      <c r="D13" s="478">
        <v>0</v>
      </c>
      <c r="E13" s="501">
        <v>80</v>
      </c>
      <c r="F13" s="479">
        <v>0</v>
      </c>
      <c r="G13" s="480">
        <v>0</v>
      </c>
      <c r="H13" s="477">
        <v>0</v>
      </c>
      <c r="I13" s="1023">
        <v>0</v>
      </c>
      <c r="J13" s="1031">
        <v>0</v>
      </c>
      <c r="K13" s="962">
        <f t="shared" si="2"/>
        <v>0</v>
      </c>
      <c r="L13" s="451">
        <f t="shared" ref="L13" si="3">K13/E13*100</f>
        <v>0</v>
      </c>
      <c r="M13" s="452" t="s">
        <v>60</v>
      </c>
      <c r="N13" s="18"/>
    </row>
    <row r="14" spans="1:14" s="19" customFormat="1" ht="20.100000000000001" customHeight="1" x14ac:dyDescent="0.25">
      <c r="A14" s="547">
        <v>3636</v>
      </c>
      <c r="B14" s="595" t="s">
        <v>119</v>
      </c>
      <c r="C14" s="477">
        <v>0</v>
      </c>
      <c r="D14" s="478">
        <v>0</v>
      </c>
      <c r="E14" s="501">
        <v>0</v>
      </c>
      <c r="F14" s="479">
        <v>644.5</v>
      </c>
      <c r="G14" s="480">
        <v>288.04000000000002</v>
      </c>
      <c r="H14" s="477">
        <v>400</v>
      </c>
      <c r="I14" s="1023">
        <v>70</v>
      </c>
      <c r="J14" s="1031">
        <v>30</v>
      </c>
      <c r="K14" s="962">
        <f t="shared" si="2"/>
        <v>500</v>
      </c>
      <c r="L14" s="451" t="s">
        <v>60</v>
      </c>
      <c r="M14" s="452">
        <f t="shared" ref="M14" si="4">K14/F14*100</f>
        <v>77.579519006982153</v>
      </c>
      <c r="N14" s="18"/>
    </row>
    <row r="15" spans="1:14" s="19" customFormat="1" ht="20.100000000000001" customHeight="1" x14ac:dyDescent="0.25">
      <c r="A15" s="547">
        <v>4350</v>
      </c>
      <c r="B15" s="595" t="s">
        <v>121</v>
      </c>
      <c r="C15" s="477">
        <v>80</v>
      </c>
      <c r="D15" s="478">
        <v>0</v>
      </c>
      <c r="E15" s="501">
        <v>80</v>
      </c>
      <c r="F15" s="479">
        <v>0</v>
      </c>
      <c r="G15" s="480">
        <v>0</v>
      </c>
      <c r="H15" s="477">
        <v>0</v>
      </c>
      <c r="I15" s="1023">
        <v>0</v>
      </c>
      <c r="J15" s="1031">
        <v>0</v>
      </c>
      <c r="K15" s="962">
        <f t="shared" si="2"/>
        <v>0</v>
      </c>
      <c r="L15" s="451">
        <f t="shared" ref="L15" si="5">K15/E15*100</f>
        <v>0</v>
      </c>
      <c r="M15" s="452" t="s">
        <v>60</v>
      </c>
      <c r="N15" s="18"/>
    </row>
    <row r="16" spans="1:14" s="19" customFormat="1" ht="20.100000000000001" customHeight="1" x14ac:dyDescent="0.25">
      <c r="A16" s="547">
        <v>6113</v>
      </c>
      <c r="B16" s="595" t="s">
        <v>123</v>
      </c>
      <c r="C16" s="477">
        <v>60</v>
      </c>
      <c r="D16" s="478">
        <v>0</v>
      </c>
      <c r="E16" s="501">
        <v>60</v>
      </c>
      <c r="F16" s="479">
        <v>0</v>
      </c>
      <c r="G16" s="480">
        <v>0</v>
      </c>
      <c r="H16" s="477">
        <v>0</v>
      </c>
      <c r="I16" s="1023">
        <v>0</v>
      </c>
      <c r="J16" s="1031">
        <v>0</v>
      </c>
      <c r="K16" s="962">
        <f t="shared" si="2"/>
        <v>0</v>
      </c>
      <c r="L16" s="451">
        <f t="shared" ref="L16:L17" si="6">K16/E16*100</f>
        <v>0</v>
      </c>
      <c r="M16" s="452" t="s">
        <v>60</v>
      </c>
      <c r="N16" s="18"/>
    </row>
    <row r="17" spans="1:14" s="19" customFormat="1" ht="20.100000000000001" customHeight="1" thickBot="1" x14ac:dyDescent="0.3">
      <c r="A17" s="547">
        <v>6172</v>
      </c>
      <c r="B17" s="595" t="s">
        <v>105</v>
      </c>
      <c r="C17" s="477">
        <v>3335</v>
      </c>
      <c r="D17" s="478">
        <v>3105.96</v>
      </c>
      <c r="E17" s="501">
        <v>3374</v>
      </c>
      <c r="F17" s="479">
        <v>4013.03</v>
      </c>
      <c r="G17" s="480">
        <v>2116.16</v>
      </c>
      <c r="H17" s="477">
        <v>2734</v>
      </c>
      <c r="I17" s="1023">
        <v>100</v>
      </c>
      <c r="J17" s="1031">
        <v>50</v>
      </c>
      <c r="K17" s="962">
        <f t="shared" si="2"/>
        <v>2884</v>
      </c>
      <c r="L17" s="747">
        <f t="shared" si="6"/>
        <v>85.477178423236509</v>
      </c>
      <c r="M17" s="748">
        <f t="shared" ref="M17" si="7">K17/F17*100</f>
        <v>71.865896841040311</v>
      </c>
      <c r="N17" s="18"/>
    </row>
    <row r="18" spans="1:14" s="19" customFormat="1" ht="20.100000000000001" customHeight="1" thickBot="1" x14ac:dyDescent="0.3">
      <c r="A18" s="186"/>
      <c r="B18" s="401" t="s">
        <v>85</v>
      </c>
      <c r="C18" s="181">
        <f t="shared" ref="C18:K18" si="8">SUM(C9:C17)</f>
        <v>3945</v>
      </c>
      <c r="D18" s="194">
        <f t="shared" si="8"/>
        <v>3320.81</v>
      </c>
      <c r="E18" s="191">
        <f t="shared" si="8"/>
        <v>3984</v>
      </c>
      <c r="F18" s="197">
        <f t="shared" si="8"/>
        <v>5602</v>
      </c>
      <c r="G18" s="198">
        <f t="shared" si="8"/>
        <v>3184.6499999999996</v>
      </c>
      <c r="H18" s="615">
        <f t="shared" si="8"/>
        <v>3634</v>
      </c>
      <c r="I18" s="955">
        <f t="shared" si="8"/>
        <v>240</v>
      </c>
      <c r="J18" s="1032">
        <f t="shared" si="8"/>
        <v>110</v>
      </c>
      <c r="K18" s="1033">
        <f t="shared" si="8"/>
        <v>3984</v>
      </c>
      <c r="L18" s="184">
        <f>K18/E18*100</f>
        <v>100</v>
      </c>
      <c r="M18" s="185">
        <f>K18/F18*100</f>
        <v>71.117458050696186</v>
      </c>
      <c r="N18" s="18"/>
    </row>
    <row r="19" spans="1:14" ht="15" customHeight="1" x14ac:dyDescent="0.25">
      <c r="A19" s="20"/>
      <c r="B19" s="20"/>
      <c r="C19" s="168"/>
      <c r="D19" s="167"/>
      <c r="E19" s="168"/>
      <c r="F19" s="170"/>
      <c r="G19" s="170"/>
      <c r="H19" s="170"/>
      <c r="I19" s="170"/>
      <c r="J19" s="170"/>
      <c r="K19" s="170"/>
      <c r="L19" s="24"/>
      <c r="M19" s="25"/>
      <c r="N19" s="17"/>
    </row>
    <row r="20" spans="1:14" x14ac:dyDescent="0.2">
      <c r="C20" s="3"/>
      <c r="E20" s="3"/>
      <c r="K20" s="3"/>
    </row>
    <row r="21" spans="1:14" x14ac:dyDescent="0.2">
      <c r="C21" s="3"/>
      <c r="E21" s="3"/>
      <c r="K21" s="3"/>
    </row>
  </sheetData>
  <sortState xmlns:xlrd2="http://schemas.microsoft.com/office/spreadsheetml/2017/richdata2" ref="A9:M29">
    <sortCondition ref="A9:A29"/>
  </sortState>
  <mergeCells count="8">
    <mergeCell ref="A2:M2"/>
    <mergeCell ref="A6:A7"/>
    <mergeCell ref="C6:D6"/>
    <mergeCell ref="E6:G6"/>
    <mergeCell ref="H6:K6"/>
    <mergeCell ref="L6:L7"/>
    <mergeCell ref="M6:M7"/>
    <mergeCell ref="B6:B7"/>
  </mergeCells>
  <printOptions horizontalCentered="1"/>
  <pageMargins left="0.59055118110236227" right="0.59055118110236227" top="0.78740157480314965" bottom="0.78740157480314965" header="0.59055118110236227" footer="0.59055118110236227"/>
  <pageSetup paperSize="9" scale="64"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1:N15"/>
  <sheetViews>
    <sheetView workbookViewId="0"/>
  </sheetViews>
  <sheetFormatPr defaultRowHeight="12.75" x14ac:dyDescent="0.2"/>
  <cols>
    <col min="1" max="1" width="7.7109375" style="1" customWidth="1"/>
    <col min="2" max="2" width="47.7109375" style="1" customWidth="1"/>
    <col min="3" max="3" width="14.7109375" style="2" customWidth="1"/>
    <col min="4" max="4" width="14.7109375" style="3" customWidth="1"/>
    <col min="5" max="5" width="14.7109375" style="2" customWidth="1"/>
    <col min="6" max="6" width="16.140625" style="3" customWidth="1"/>
    <col min="7" max="8" width="14.7109375" style="3" customWidth="1"/>
    <col min="9" max="9" width="15.7109375" style="3" customWidth="1"/>
    <col min="10" max="10" width="14.7109375" style="3" customWidth="1"/>
    <col min="11" max="11" width="13.85546875" style="787" customWidth="1"/>
    <col min="12" max="12" width="10.140625" style="5" bestFit="1" customWidth="1"/>
    <col min="13" max="13" width="10.140625" style="5" customWidth="1"/>
    <col min="14" max="256" width="9.140625" style="1"/>
    <col min="257" max="257" width="6.7109375" style="1" customWidth="1"/>
    <col min="258" max="258" width="41.5703125" style="1" customWidth="1"/>
    <col min="259" max="266" width="14.7109375" style="1" customWidth="1"/>
    <col min="267" max="267" width="16.7109375" style="1" customWidth="1"/>
    <col min="268" max="268" width="10.140625" style="1" bestFit="1" customWidth="1"/>
    <col min="269" max="269" width="10.140625" style="1" customWidth="1"/>
    <col min="270" max="512" width="9.140625" style="1"/>
    <col min="513" max="513" width="6.7109375" style="1" customWidth="1"/>
    <col min="514" max="514" width="41.5703125" style="1" customWidth="1"/>
    <col min="515" max="522" width="14.7109375" style="1" customWidth="1"/>
    <col min="523" max="523" width="16.7109375" style="1" customWidth="1"/>
    <col min="524" max="524" width="10.140625" style="1" bestFit="1" customWidth="1"/>
    <col min="525" max="525" width="10.140625" style="1" customWidth="1"/>
    <col min="526" max="768" width="9.140625" style="1"/>
    <col min="769" max="769" width="6.7109375" style="1" customWidth="1"/>
    <col min="770" max="770" width="41.5703125" style="1" customWidth="1"/>
    <col min="771" max="778" width="14.7109375" style="1" customWidth="1"/>
    <col min="779" max="779" width="16.7109375" style="1" customWidth="1"/>
    <col min="780" max="780" width="10.140625" style="1" bestFit="1" customWidth="1"/>
    <col min="781" max="781" width="10.140625" style="1" customWidth="1"/>
    <col min="782" max="1024" width="9.140625" style="1"/>
    <col min="1025" max="1025" width="6.7109375" style="1" customWidth="1"/>
    <col min="1026" max="1026" width="41.5703125" style="1" customWidth="1"/>
    <col min="1027" max="1034" width="14.7109375" style="1" customWidth="1"/>
    <col min="1035" max="1035" width="16.7109375" style="1" customWidth="1"/>
    <col min="1036" max="1036" width="10.140625" style="1" bestFit="1" customWidth="1"/>
    <col min="1037" max="1037" width="10.140625" style="1" customWidth="1"/>
    <col min="1038" max="1280" width="9.140625" style="1"/>
    <col min="1281" max="1281" width="6.7109375" style="1" customWidth="1"/>
    <col min="1282" max="1282" width="41.5703125" style="1" customWidth="1"/>
    <col min="1283" max="1290" width="14.7109375" style="1" customWidth="1"/>
    <col min="1291" max="1291" width="16.7109375" style="1" customWidth="1"/>
    <col min="1292" max="1292" width="10.140625" style="1" bestFit="1" customWidth="1"/>
    <col min="1293" max="1293" width="10.140625" style="1" customWidth="1"/>
    <col min="1294" max="1536" width="9.140625" style="1"/>
    <col min="1537" max="1537" width="6.7109375" style="1" customWidth="1"/>
    <col min="1538" max="1538" width="41.5703125" style="1" customWidth="1"/>
    <col min="1539" max="1546" width="14.7109375" style="1" customWidth="1"/>
    <col min="1547" max="1547" width="16.7109375" style="1" customWidth="1"/>
    <col min="1548" max="1548" width="10.140625" style="1" bestFit="1" customWidth="1"/>
    <col min="1549" max="1549" width="10.140625" style="1" customWidth="1"/>
    <col min="1550" max="1792" width="9.140625" style="1"/>
    <col min="1793" max="1793" width="6.7109375" style="1" customWidth="1"/>
    <col min="1794" max="1794" width="41.5703125" style="1" customWidth="1"/>
    <col min="1795" max="1802" width="14.7109375" style="1" customWidth="1"/>
    <col min="1803" max="1803" width="16.7109375" style="1" customWidth="1"/>
    <col min="1804" max="1804" width="10.140625" style="1" bestFit="1" customWidth="1"/>
    <col min="1805" max="1805" width="10.140625" style="1" customWidth="1"/>
    <col min="1806" max="2048" width="9.140625" style="1"/>
    <col min="2049" max="2049" width="6.7109375" style="1" customWidth="1"/>
    <col min="2050" max="2050" width="41.5703125" style="1" customWidth="1"/>
    <col min="2051" max="2058" width="14.7109375" style="1" customWidth="1"/>
    <col min="2059" max="2059" width="16.7109375" style="1" customWidth="1"/>
    <col min="2060" max="2060" width="10.140625" style="1" bestFit="1" customWidth="1"/>
    <col min="2061" max="2061" width="10.140625" style="1" customWidth="1"/>
    <col min="2062" max="2304" width="9.140625" style="1"/>
    <col min="2305" max="2305" width="6.7109375" style="1" customWidth="1"/>
    <col min="2306" max="2306" width="41.5703125" style="1" customWidth="1"/>
    <col min="2307" max="2314" width="14.7109375" style="1" customWidth="1"/>
    <col min="2315" max="2315" width="16.7109375" style="1" customWidth="1"/>
    <col min="2316" max="2316" width="10.140625" style="1" bestFit="1" customWidth="1"/>
    <col min="2317" max="2317" width="10.140625" style="1" customWidth="1"/>
    <col min="2318" max="2560" width="9.140625" style="1"/>
    <col min="2561" max="2561" width="6.7109375" style="1" customWidth="1"/>
    <col min="2562" max="2562" width="41.5703125" style="1" customWidth="1"/>
    <col min="2563" max="2570" width="14.7109375" style="1" customWidth="1"/>
    <col min="2571" max="2571" width="16.7109375" style="1" customWidth="1"/>
    <col min="2572" max="2572" width="10.140625" style="1" bestFit="1" customWidth="1"/>
    <col min="2573" max="2573" width="10.140625" style="1" customWidth="1"/>
    <col min="2574" max="2816" width="9.140625" style="1"/>
    <col min="2817" max="2817" width="6.7109375" style="1" customWidth="1"/>
    <col min="2818" max="2818" width="41.5703125" style="1" customWidth="1"/>
    <col min="2819" max="2826" width="14.7109375" style="1" customWidth="1"/>
    <col min="2827" max="2827" width="16.7109375" style="1" customWidth="1"/>
    <col min="2828" max="2828" width="10.140625" style="1" bestFit="1" customWidth="1"/>
    <col min="2829" max="2829" width="10.140625" style="1" customWidth="1"/>
    <col min="2830" max="3072" width="9.140625" style="1"/>
    <col min="3073" max="3073" width="6.7109375" style="1" customWidth="1"/>
    <col min="3074" max="3074" width="41.5703125" style="1" customWidth="1"/>
    <col min="3075" max="3082" width="14.7109375" style="1" customWidth="1"/>
    <col min="3083" max="3083" width="16.7109375" style="1" customWidth="1"/>
    <col min="3084" max="3084" width="10.140625" style="1" bestFit="1" customWidth="1"/>
    <col min="3085" max="3085" width="10.140625" style="1" customWidth="1"/>
    <col min="3086" max="3328" width="9.140625" style="1"/>
    <col min="3329" max="3329" width="6.7109375" style="1" customWidth="1"/>
    <col min="3330" max="3330" width="41.5703125" style="1" customWidth="1"/>
    <col min="3331" max="3338" width="14.7109375" style="1" customWidth="1"/>
    <col min="3339" max="3339" width="16.7109375" style="1" customWidth="1"/>
    <col min="3340" max="3340" width="10.140625" style="1" bestFit="1" customWidth="1"/>
    <col min="3341" max="3341" width="10.140625" style="1" customWidth="1"/>
    <col min="3342" max="3584" width="9.140625" style="1"/>
    <col min="3585" max="3585" width="6.7109375" style="1" customWidth="1"/>
    <col min="3586" max="3586" width="41.5703125" style="1" customWidth="1"/>
    <col min="3587" max="3594" width="14.7109375" style="1" customWidth="1"/>
    <col min="3595" max="3595" width="16.7109375" style="1" customWidth="1"/>
    <col min="3596" max="3596" width="10.140625" style="1" bestFit="1" customWidth="1"/>
    <col min="3597" max="3597" width="10.140625" style="1" customWidth="1"/>
    <col min="3598" max="3840" width="9.140625" style="1"/>
    <col min="3841" max="3841" width="6.7109375" style="1" customWidth="1"/>
    <col min="3842" max="3842" width="41.5703125" style="1" customWidth="1"/>
    <col min="3843" max="3850" width="14.7109375" style="1" customWidth="1"/>
    <col min="3851" max="3851" width="16.7109375" style="1" customWidth="1"/>
    <col min="3852" max="3852" width="10.140625" style="1" bestFit="1" customWidth="1"/>
    <col min="3853" max="3853" width="10.140625" style="1" customWidth="1"/>
    <col min="3854" max="4096" width="9.140625" style="1"/>
    <col min="4097" max="4097" width="6.7109375" style="1" customWidth="1"/>
    <col min="4098" max="4098" width="41.5703125" style="1" customWidth="1"/>
    <col min="4099" max="4106" width="14.7109375" style="1" customWidth="1"/>
    <col min="4107" max="4107" width="16.7109375" style="1" customWidth="1"/>
    <col min="4108" max="4108" width="10.140625" style="1" bestFit="1" customWidth="1"/>
    <col min="4109" max="4109" width="10.140625" style="1" customWidth="1"/>
    <col min="4110" max="4352" width="9.140625" style="1"/>
    <col min="4353" max="4353" width="6.7109375" style="1" customWidth="1"/>
    <col min="4354" max="4354" width="41.5703125" style="1" customWidth="1"/>
    <col min="4355" max="4362" width="14.7109375" style="1" customWidth="1"/>
    <col min="4363" max="4363" width="16.7109375" style="1" customWidth="1"/>
    <col min="4364" max="4364" width="10.140625" style="1" bestFit="1" customWidth="1"/>
    <col min="4365" max="4365" width="10.140625" style="1" customWidth="1"/>
    <col min="4366" max="4608" width="9.140625" style="1"/>
    <col min="4609" max="4609" width="6.7109375" style="1" customWidth="1"/>
    <col min="4610" max="4610" width="41.5703125" style="1" customWidth="1"/>
    <col min="4611" max="4618" width="14.7109375" style="1" customWidth="1"/>
    <col min="4619" max="4619" width="16.7109375" style="1" customWidth="1"/>
    <col min="4620" max="4620" width="10.140625" style="1" bestFit="1" customWidth="1"/>
    <col min="4621" max="4621" width="10.140625" style="1" customWidth="1"/>
    <col min="4622" max="4864" width="9.140625" style="1"/>
    <col min="4865" max="4865" width="6.7109375" style="1" customWidth="1"/>
    <col min="4866" max="4866" width="41.5703125" style="1" customWidth="1"/>
    <col min="4867" max="4874" width="14.7109375" style="1" customWidth="1"/>
    <col min="4875" max="4875" width="16.7109375" style="1" customWidth="1"/>
    <col min="4876" max="4876" width="10.140625" style="1" bestFit="1" customWidth="1"/>
    <col min="4877" max="4877" width="10.140625" style="1" customWidth="1"/>
    <col min="4878" max="5120" width="9.140625" style="1"/>
    <col min="5121" max="5121" width="6.7109375" style="1" customWidth="1"/>
    <col min="5122" max="5122" width="41.5703125" style="1" customWidth="1"/>
    <col min="5123" max="5130" width="14.7109375" style="1" customWidth="1"/>
    <col min="5131" max="5131" width="16.7109375" style="1" customWidth="1"/>
    <col min="5132" max="5132" width="10.140625" style="1" bestFit="1" customWidth="1"/>
    <col min="5133" max="5133" width="10.140625" style="1" customWidth="1"/>
    <col min="5134" max="5376" width="9.140625" style="1"/>
    <col min="5377" max="5377" width="6.7109375" style="1" customWidth="1"/>
    <col min="5378" max="5378" width="41.5703125" style="1" customWidth="1"/>
    <col min="5379" max="5386" width="14.7109375" style="1" customWidth="1"/>
    <col min="5387" max="5387" width="16.7109375" style="1" customWidth="1"/>
    <col min="5388" max="5388" width="10.140625" style="1" bestFit="1" customWidth="1"/>
    <col min="5389" max="5389" width="10.140625" style="1" customWidth="1"/>
    <col min="5390" max="5632" width="9.140625" style="1"/>
    <col min="5633" max="5633" width="6.7109375" style="1" customWidth="1"/>
    <col min="5634" max="5634" width="41.5703125" style="1" customWidth="1"/>
    <col min="5635" max="5642" width="14.7109375" style="1" customWidth="1"/>
    <col min="5643" max="5643" width="16.7109375" style="1" customWidth="1"/>
    <col min="5644" max="5644" width="10.140625" style="1" bestFit="1" customWidth="1"/>
    <col min="5645" max="5645" width="10.140625" style="1" customWidth="1"/>
    <col min="5646" max="5888" width="9.140625" style="1"/>
    <col min="5889" max="5889" width="6.7109375" style="1" customWidth="1"/>
    <col min="5890" max="5890" width="41.5703125" style="1" customWidth="1"/>
    <col min="5891" max="5898" width="14.7109375" style="1" customWidth="1"/>
    <col min="5899" max="5899" width="16.7109375" style="1" customWidth="1"/>
    <col min="5900" max="5900" width="10.140625" style="1" bestFit="1" customWidth="1"/>
    <col min="5901" max="5901" width="10.140625" style="1" customWidth="1"/>
    <col min="5902" max="6144" width="9.140625" style="1"/>
    <col min="6145" max="6145" width="6.7109375" style="1" customWidth="1"/>
    <col min="6146" max="6146" width="41.5703125" style="1" customWidth="1"/>
    <col min="6147" max="6154" width="14.7109375" style="1" customWidth="1"/>
    <col min="6155" max="6155" width="16.7109375" style="1" customWidth="1"/>
    <col min="6156" max="6156" width="10.140625" style="1" bestFit="1" customWidth="1"/>
    <col min="6157" max="6157" width="10.140625" style="1" customWidth="1"/>
    <col min="6158" max="6400" width="9.140625" style="1"/>
    <col min="6401" max="6401" width="6.7109375" style="1" customWidth="1"/>
    <col min="6402" max="6402" width="41.5703125" style="1" customWidth="1"/>
    <col min="6403" max="6410" width="14.7109375" style="1" customWidth="1"/>
    <col min="6411" max="6411" width="16.7109375" style="1" customWidth="1"/>
    <col min="6412" max="6412" width="10.140625" style="1" bestFit="1" customWidth="1"/>
    <col min="6413" max="6413" width="10.140625" style="1" customWidth="1"/>
    <col min="6414" max="6656" width="9.140625" style="1"/>
    <col min="6657" max="6657" width="6.7109375" style="1" customWidth="1"/>
    <col min="6658" max="6658" width="41.5703125" style="1" customWidth="1"/>
    <col min="6659" max="6666" width="14.7109375" style="1" customWidth="1"/>
    <col min="6667" max="6667" width="16.7109375" style="1" customWidth="1"/>
    <col min="6668" max="6668" width="10.140625" style="1" bestFit="1" customWidth="1"/>
    <col min="6669" max="6669" width="10.140625" style="1" customWidth="1"/>
    <col min="6670" max="6912" width="9.140625" style="1"/>
    <col min="6913" max="6913" width="6.7109375" style="1" customWidth="1"/>
    <col min="6914" max="6914" width="41.5703125" style="1" customWidth="1"/>
    <col min="6915" max="6922" width="14.7109375" style="1" customWidth="1"/>
    <col min="6923" max="6923" width="16.7109375" style="1" customWidth="1"/>
    <col min="6924" max="6924" width="10.140625" style="1" bestFit="1" customWidth="1"/>
    <col min="6925" max="6925" width="10.140625" style="1" customWidth="1"/>
    <col min="6926" max="7168" width="9.140625" style="1"/>
    <col min="7169" max="7169" width="6.7109375" style="1" customWidth="1"/>
    <col min="7170" max="7170" width="41.5703125" style="1" customWidth="1"/>
    <col min="7171" max="7178" width="14.7109375" style="1" customWidth="1"/>
    <col min="7179" max="7179" width="16.7109375" style="1" customWidth="1"/>
    <col min="7180" max="7180" width="10.140625" style="1" bestFit="1" customWidth="1"/>
    <col min="7181" max="7181" width="10.140625" style="1" customWidth="1"/>
    <col min="7182" max="7424" width="9.140625" style="1"/>
    <col min="7425" max="7425" width="6.7109375" style="1" customWidth="1"/>
    <col min="7426" max="7426" width="41.5703125" style="1" customWidth="1"/>
    <col min="7427" max="7434" width="14.7109375" style="1" customWidth="1"/>
    <col min="7435" max="7435" width="16.7109375" style="1" customWidth="1"/>
    <col min="7436" max="7436" width="10.140625" style="1" bestFit="1" customWidth="1"/>
    <col min="7437" max="7437" width="10.140625" style="1" customWidth="1"/>
    <col min="7438" max="7680" width="9.140625" style="1"/>
    <col min="7681" max="7681" width="6.7109375" style="1" customWidth="1"/>
    <col min="7682" max="7682" width="41.5703125" style="1" customWidth="1"/>
    <col min="7683" max="7690" width="14.7109375" style="1" customWidth="1"/>
    <col min="7691" max="7691" width="16.7109375" style="1" customWidth="1"/>
    <col min="7692" max="7692" width="10.140625" style="1" bestFit="1" customWidth="1"/>
    <col min="7693" max="7693" width="10.140625" style="1" customWidth="1"/>
    <col min="7694" max="7936" width="9.140625" style="1"/>
    <col min="7937" max="7937" width="6.7109375" style="1" customWidth="1"/>
    <col min="7938" max="7938" width="41.5703125" style="1" customWidth="1"/>
    <col min="7939" max="7946" width="14.7109375" style="1" customWidth="1"/>
    <col min="7947" max="7947" width="16.7109375" style="1" customWidth="1"/>
    <col min="7948" max="7948" width="10.140625" style="1" bestFit="1" customWidth="1"/>
    <col min="7949" max="7949" width="10.140625" style="1" customWidth="1"/>
    <col min="7950" max="8192" width="9.140625" style="1"/>
    <col min="8193" max="8193" width="6.7109375" style="1" customWidth="1"/>
    <col min="8194" max="8194" width="41.5703125" style="1" customWidth="1"/>
    <col min="8195" max="8202" width="14.7109375" style="1" customWidth="1"/>
    <col min="8203" max="8203" width="16.7109375" style="1" customWidth="1"/>
    <col min="8204" max="8204" width="10.140625" style="1" bestFit="1" customWidth="1"/>
    <col min="8205" max="8205" width="10.140625" style="1" customWidth="1"/>
    <col min="8206" max="8448" width="9.140625" style="1"/>
    <col min="8449" max="8449" width="6.7109375" style="1" customWidth="1"/>
    <col min="8450" max="8450" width="41.5703125" style="1" customWidth="1"/>
    <col min="8451" max="8458" width="14.7109375" style="1" customWidth="1"/>
    <col min="8459" max="8459" width="16.7109375" style="1" customWidth="1"/>
    <col min="8460" max="8460" width="10.140625" style="1" bestFit="1" customWidth="1"/>
    <col min="8461" max="8461" width="10.140625" style="1" customWidth="1"/>
    <col min="8462" max="8704" width="9.140625" style="1"/>
    <col min="8705" max="8705" width="6.7109375" style="1" customWidth="1"/>
    <col min="8706" max="8706" width="41.5703125" style="1" customWidth="1"/>
    <col min="8707" max="8714" width="14.7109375" style="1" customWidth="1"/>
    <col min="8715" max="8715" width="16.7109375" style="1" customWidth="1"/>
    <col min="8716" max="8716" width="10.140625" style="1" bestFit="1" customWidth="1"/>
    <col min="8717" max="8717" width="10.140625" style="1" customWidth="1"/>
    <col min="8718" max="8960" width="9.140625" style="1"/>
    <col min="8961" max="8961" width="6.7109375" style="1" customWidth="1"/>
    <col min="8962" max="8962" width="41.5703125" style="1" customWidth="1"/>
    <col min="8963" max="8970" width="14.7109375" style="1" customWidth="1"/>
    <col min="8971" max="8971" width="16.7109375" style="1" customWidth="1"/>
    <col min="8972" max="8972" width="10.140625" style="1" bestFit="1" customWidth="1"/>
    <col min="8973" max="8973" width="10.140625" style="1" customWidth="1"/>
    <col min="8974" max="9216" width="9.140625" style="1"/>
    <col min="9217" max="9217" width="6.7109375" style="1" customWidth="1"/>
    <col min="9218" max="9218" width="41.5703125" style="1" customWidth="1"/>
    <col min="9219" max="9226" width="14.7109375" style="1" customWidth="1"/>
    <col min="9227" max="9227" width="16.7109375" style="1" customWidth="1"/>
    <col min="9228" max="9228" width="10.140625" style="1" bestFit="1" customWidth="1"/>
    <col min="9229" max="9229" width="10.140625" style="1" customWidth="1"/>
    <col min="9230" max="9472" width="9.140625" style="1"/>
    <col min="9473" max="9473" width="6.7109375" style="1" customWidth="1"/>
    <col min="9474" max="9474" width="41.5703125" style="1" customWidth="1"/>
    <col min="9475" max="9482" width="14.7109375" style="1" customWidth="1"/>
    <col min="9483" max="9483" width="16.7109375" style="1" customWidth="1"/>
    <col min="9484" max="9484" width="10.140625" style="1" bestFit="1" customWidth="1"/>
    <col min="9485" max="9485" width="10.140625" style="1" customWidth="1"/>
    <col min="9486" max="9728" width="9.140625" style="1"/>
    <col min="9729" max="9729" width="6.7109375" style="1" customWidth="1"/>
    <col min="9730" max="9730" width="41.5703125" style="1" customWidth="1"/>
    <col min="9731" max="9738" width="14.7109375" style="1" customWidth="1"/>
    <col min="9739" max="9739" width="16.7109375" style="1" customWidth="1"/>
    <col min="9740" max="9740" width="10.140625" style="1" bestFit="1" customWidth="1"/>
    <col min="9741" max="9741" width="10.140625" style="1" customWidth="1"/>
    <col min="9742" max="9984" width="9.140625" style="1"/>
    <col min="9985" max="9985" width="6.7109375" style="1" customWidth="1"/>
    <col min="9986" max="9986" width="41.5703125" style="1" customWidth="1"/>
    <col min="9987" max="9994" width="14.7109375" style="1" customWidth="1"/>
    <col min="9995" max="9995" width="16.7109375" style="1" customWidth="1"/>
    <col min="9996" max="9996" width="10.140625" style="1" bestFit="1" customWidth="1"/>
    <col min="9997" max="9997" width="10.140625" style="1" customWidth="1"/>
    <col min="9998" max="10240" width="9.140625" style="1"/>
    <col min="10241" max="10241" width="6.7109375" style="1" customWidth="1"/>
    <col min="10242" max="10242" width="41.5703125" style="1" customWidth="1"/>
    <col min="10243" max="10250" width="14.7109375" style="1" customWidth="1"/>
    <col min="10251" max="10251" width="16.7109375" style="1" customWidth="1"/>
    <col min="10252" max="10252" width="10.140625" style="1" bestFit="1" customWidth="1"/>
    <col min="10253" max="10253" width="10.140625" style="1" customWidth="1"/>
    <col min="10254" max="10496" width="9.140625" style="1"/>
    <col min="10497" max="10497" width="6.7109375" style="1" customWidth="1"/>
    <col min="10498" max="10498" width="41.5703125" style="1" customWidth="1"/>
    <col min="10499" max="10506" width="14.7109375" style="1" customWidth="1"/>
    <col min="10507" max="10507" width="16.7109375" style="1" customWidth="1"/>
    <col min="10508" max="10508" width="10.140625" style="1" bestFit="1" customWidth="1"/>
    <col min="10509" max="10509" width="10.140625" style="1" customWidth="1"/>
    <col min="10510" max="10752" width="9.140625" style="1"/>
    <col min="10753" max="10753" width="6.7109375" style="1" customWidth="1"/>
    <col min="10754" max="10754" width="41.5703125" style="1" customWidth="1"/>
    <col min="10755" max="10762" width="14.7109375" style="1" customWidth="1"/>
    <col min="10763" max="10763" width="16.7109375" style="1" customWidth="1"/>
    <col min="10764" max="10764" width="10.140625" style="1" bestFit="1" customWidth="1"/>
    <col min="10765" max="10765" width="10.140625" style="1" customWidth="1"/>
    <col min="10766" max="11008" width="9.140625" style="1"/>
    <col min="11009" max="11009" width="6.7109375" style="1" customWidth="1"/>
    <col min="11010" max="11010" width="41.5703125" style="1" customWidth="1"/>
    <col min="11011" max="11018" width="14.7109375" style="1" customWidth="1"/>
    <col min="11019" max="11019" width="16.7109375" style="1" customWidth="1"/>
    <col min="11020" max="11020" width="10.140625" style="1" bestFit="1" customWidth="1"/>
    <col min="11021" max="11021" width="10.140625" style="1" customWidth="1"/>
    <col min="11022" max="11264" width="9.140625" style="1"/>
    <col min="11265" max="11265" width="6.7109375" style="1" customWidth="1"/>
    <col min="11266" max="11266" width="41.5703125" style="1" customWidth="1"/>
    <col min="11267" max="11274" width="14.7109375" style="1" customWidth="1"/>
    <col min="11275" max="11275" width="16.7109375" style="1" customWidth="1"/>
    <col min="11276" max="11276" width="10.140625" style="1" bestFit="1" customWidth="1"/>
    <col min="11277" max="11277" width="10.140625" style="1" customWidth="1"/>
    <col min="11278" max="11520" width="9.140625" style="1"/>
    <col min="11521" max="11521" width="6.7109375" style="1" customWidth="1"/>
    <col min="11522" max="11522" width="41.5703125" style="1" customWidth="1"/>
    <col min="11523" max="11530" width="14.7109375" style="1" customWidth="1"/>
    <col min="11531" max="11531" width="16.7109375" style="1" customWidth="1"/>
    <col min="11532" max="11532" width="10.140625" style="1" bestFit="1" customWidth="1"/>
    <col min="11533" max="11533" width="10.140625" style="1" customWidth="1"/>
    <col min="11534" max="11776" width="9.140625" style="1"/>
    <col min="11777" max="11777" width="6.7109375" style="1" customWidth="1"/>
    <col min="11778" max="11778" width="41.5703125" style="1" customWidth="1"/>
    <col min="11779" max="11786" width="14.7109375" style="1" customWidth="1"/>
    <col min="11787" max="11787" width="16.7109375" style="1" customWidth="1"/>
    <col min="11788" max="11788" width="10.140625" style="1" bestFit="1" customWidth="1"/>
    <col min="11789" max="11789" width="10.140625" style="1" customWidth="1"/>
    <col min="11790" max="12032" width="9.140625" style="1"/>
    <col min="12033" max="12033" width="6.7109375" style="1" customWidth="1"/>
    <col min="12034" max="12034" width="41.5703125" style="1" customWidth="1"/>
    <col min="12035" max="12042" width="14.7109375" style="1" customWidth="1"/>
    <col min="12043" max="12043" width="16.7109375" style="1" customWidth="1"/>
    <col min="12044" max="12044" width="10.140625" style="1" bestFit="1" customWidth="1"/>
    <col min="12045" max="12045" width="10.140625" style="1" customWidth="1"/>
    <col min="12046" max="12288" width="9.140625" style="1"/>
    <col min="12289" max="12289" width="6.7109375" style="1" customWidth="1"/>
    <col min="12290" max="12290" width="41.5703125" style="1" customWidth="1"/>
    <col min="12291" max="12298" width="14.7109375" style="1" customWidth="1"/>
    <col min="12299" max="12299" width="16.7109375" style="1" customWidth="1"/>
    <col min="12300" max="12300" width="10.140625" style="1" bestFit="1" customWidth="1"/>
    <col min="12301" max="12301" width="10.140625" style="1" customWidth="1"/>
    <col min="12302" max="12544" width="9.140625" style="1"/>
    <col min="12545" max="12545" width="6.7109375" style="1" customWidth="1"/>
    <col min="12546" max="12546" width="41.5703125" style="1" customWidth="1"/>
    <col min="12547" max="12554" width="14.7109375" style="1" customWidth="1"/>
    <col min="12555" max="12555" width="16.7109375" style="1" customWidth="1"/>
    <col min="12556" max="12556" width="10.140625" style="1" bestFit="1" customWidth="1"/>
    <col min="12557" max="12557" width="10.140625" style="1" customWidth="1"/>
    <col min="12558" max="12800" width="9.140625" style="1"/>
    <col min="12801" max="12801" width="6.7109375" style="1" customWidth="1"/>
    <col min="12802" max="12802" width="41.5703125" style="1" customWidth="1"/>
    <col min="12803" max="12810" width="14.7109375" style="1" customWidth="1"/>
    <col min="12811" max="12811" width="16.7109375" style="1" customWidth="1"/>
    <col min="12812" max="12812" width="10.140625" style="1" bestFit="1" customWidth="1"/>
    <col min="12813" max="12813" width="10.140625" style="1" customWidth="1"/>
    <col min="12814" max="13056" width="9.140625" style="1"/>
    <col min="13057" max="13057" width="6.7109375" style="1" customWidth="1"/>
    <col min="13058" max="13058" width="41.5703125" style="1" customWidth="1"/>
    <col min="13059" max="13066" width="14.7109375" style="1" customWidth="1"/>
    <col min="13067" max="13067" width="16.7109375" style="1" customWidth="1"/>
    <col min="13068" max="13068" width="10.140625" style="1" bestFit="1" customWidth="1"/>
    <col min="13069" max="13069" width="10.140625" style="1" customWidth="1"/>
    <col min="13070" max="13312" width="9.140625" style="1"/>
    <col min="13313" max="13313" width="6.7109375" style="1" customWidth="1"/>
    <col min="13314" max="13314" width="41.5703125" style="1" customWidth="1"/>
    <col min="13315" max="13322" width="14.7109375" style="1" customWidth="1"/>
    <col min="13323" max="13323" width="16.7109375" style="1" customWidth="1"/>
    <col min="13324" max="13324" width="10.140625" style="1" bestFit="1" customWidth="1"/>
    <col min="13325" max="13325" width="10.140625" style="1" customWidth="1"/>
    <col min="13326" max="13568" width="9.140625" style="1"/>
    <col min="13569" max="13569" width="6.7109375" style="1" customWidth="1"/>
    <col min="13570" max="13570" width="41.5703125" style="1" customWidth="1"/>
    <col min="13571" max="13578" width="14.7109375" style="1" customWidth="1"/>
    <col min="13579" max="13579" width="16.7109375" style="1" customWidth="1"/>
    <col min="13580" max="13580" width="10.140625" style="1" bestFit="1" customWidth="1"/>
    <col min="13581" max="13581" width="10.140625" style="1" customWidth="1"/>
    <col min="13582" max="13824" width="9.140625" style="1"/>
    <col min="13825" max="13825" width="6.7109375" style="1" customWidth="1"/>
    <col min="13826" max="13826" width="41.5703125" style="1" customWidth="1"/>
    <col min="13827" max="13834" width="14.7109375" style="1" customWidth="1"/>
    <col min="13835" max="13835" width="16.7109375" style="1" customWidth="1"/>
    <col min="13836" max="13836" width="10.140625" style="1" bestFit="1" customWidth="1"/>
    <col min="13837" max="13837" width="10.140625" style="1" customWidth="1"/>
    <col min="13838" max="14080" width="9.140625" style="1"/>
    <col min="14081" max="14081" width="6.7109375" style="1" customWidth="1"/>
    <col min="14082" max="14082" width="41.5703125" style="1" customWidth="1"/>
    <col min="14083" max="14090" width="14.7109375" style="1" customWidth="1"/>
    <col min="14091" max="14091" width="16.7109375" style="1" customWidth="1"/>
    <col min="14092" max="14092" width="10.140625" style="1" bestFit="1" customWidth="1"/>
    <col min="14093" max="14093" width="10.140625" style="1" customWidth="1"/>
    <col min="14094" max="14336" width="9.140625" style="1"/>
    <col min="14337" max="14337" width="6.7109375" style="1" customWidth="1"/>
    <col min="14338" max="14338" width="41.5703125" style="1" customWidth="1"/>
    <col min="14339" max="14346" width="14.7109375" style="1" customWidth="1"/>
    <col min="14347" max="14347" width="16.7109375" style="1" customWidth="1"/>
    <col min="14348" max="14348" width="10.140625" style="1" bestFit="1" customWidth="1"/>
    <col min="14349" max="14349" width="10.140625" style="1" customWidth="1"/>
    <col min="14350" max="14592" width="9.140625" style="1"/>
    <col min="14593" max="14593" width="6.7109375" style="1" customWidth="1"/>
    <col min="14594" max="14594" width="41.5703125" style="1" customWidth="1"/>
    <col min="14595" max="14602" width="14.7109375" style="1" customWidth="1"/>
    <col min="14603" max="14603" width="16.7109375" style="1" customWidth="1"/>
    <col min="14604" max="14604" width="10.140625" style="1" bestFit="1" customWidth="1"/>
    <col min="14605" max="14605" width="10.140625" style="1" customWidth="1"/>
    <col min="14606" max="14848" width="9.140625" style="1"/>
    <col min="14849" max="14849" width="6.7109375" style="1" customWidth="1"/>
    <col min="14850" max="14850" width="41.5703125" style="1" customWidth="1"/>
    <col min="14851" max="14858" width="14.7109375" style="1" customWidth="1"/>
    <col min="14859" max="14859" width="16.7109375" style="1" customWidth="1"/>
    <col min="14860" max="14860" width="10.140625" style="1" bestFit="1" customWidth="1"/>
    <col min="14861" max="14861" width="10.140625" style="1" customWidth="1"/>
    <col min="14862" max="15104" width="9.140625" style="1"/>
    <col min="15105" max="15105" width="6.7109375" style="1" customWidth="1"/>
    <col min="15106" max="15106" width="41.5703125" style="1" customWidth="1"/>
    <col min="15107" max="15114" width="14.7109375" style="1" customWidth="1"/>
    <col min="15115" max="15115" width="16.7109375" style="1" customWidth="1"/>
    <col min="15116" max="15116" width="10.140625" style="1" bestFit="1" customWidth="1"/>
    <col min="15117" max="15117" width="10.140625" style="1" customWidth="1"/>
    <col min="15118" max="15360" width="9.140625" style="1"/>
    <col min="15361" max="15361" width="6.7109375" style="1" customWidth="1"/>
    <col min="15362" max="15362" width="41.5703125" style="1" customWidth="1"/>
    <col min="15363" max="15370" width="14.7109375" style="1" customWidth="1"/>
    <col min="15371" max="15371" width="16.7109375" style="1" customWidth="1"/>
    <col min="15372" max="15372" width="10.140625" style="1" bestFit="1" customWidth="1"/>
    <col min="15373" max="15373" width="10.140625" style="1" customWidth="1"/>
    <col min="15374" max="15616" width="9.140625" style="1"/>
    <col min="15617" max="15617" width="6.7109375" style="1" customWidth="1"/>
    <col min="15618" max="15618" width="41.5703125" style="1" customWidth="1"/>
    <col min="15619" max="15626" width="14.7109375" style="1" customWidth="1"/>
    <col min="15627" max="15627" width="16.7109375" style="1" customWidth="1"/>
    <col min="15628" max="15628" width="10.140625" style="1" bestFit="1" customWidth="1"/>
    <col min="15629" max="15629" width="10.140625" style="1" customWidth="1"/>
    <col min="15630" max="15872" width="9.140625" style="1"/>
    <col min="15873" max="15873" width="6.7109375" style="1" customWidth="1"/>
    <col min="15874" max="15874" width="41.5703125" style="1" customWidth="1"/>
    <col min="15875" max="15882" width="14.7109375" style="1" customWidth="1"/>
    <col min="15883" max="15883" width="16.7109375" style="1" customWidth="1"/>
    <col min="15884" max="15884" width="10.140625" style="1" bestFit="1" customWidth="1"/>
    <col min="15885" max="15885" width="10.140625" style="1" customWidth="1"/>
    <col min="15886" max="16128" width="9.140625" style="1"/>
    <col min="16129" max="16129" width="6.7109375" style="1" customWidth="1"/>
    <col min="16130" max="16130" width="41.5703125" style="1" customWidth="1"/>
    <col min="16131" max="16138" width="14.7109375" style="1" customWidth="1"/>
    <col min="16139" max="16139" width="16.7109375" style="1" customWidth="1"/>
    <col min="16140" max="16140" width="10.140625" style="1" bestFit="1" customWidth="1"/>
    <col min="16141" max="16141" width="10.140625" style="1" customWidth="1"/>
    <col min="16142" max="16384" width="9.140625" style="1"/>
  </cols>
  <sheetData>
    <row r="1" spans="1:14" ht="15" x14ac:dyDescent="0.25">
      <c r="M1" s="6"/>
    </row>
    <row r="2" spans="1:14" ht="20.100000000000001" customHeight="1" x14ac:dyDescent="0.35">
      <c r="A2" s="1303" t="s">
        <v>508</v>
      </c>
      <c r="B2" s="1303"/>
      <c r="C2" s="1303"/>
      <c r="D2" s="1303"/>
      <c r="E2" s="1303"/>
      <c r="F2" s="1303"/>
      <c r="G2" s="1303"/>
      <c r="H2" s="1303"/>
      <c r="I2" s="1303"/>
      <c r="J2" s="1303"/>
      <c r="K2" s="1303"/>
      <c r="L2" s="1303"/>
      <c r="M2" s="1303"/>
      <c r="N2" s="29"/>
    </row>
    <row r="3" spans="1:14" ht="15" customHeight="1" x14ac:dyDescent="0.2"/>
    <row r="4" spans="1:14" ht="18.75" x14ac:dyDescent="0.3">
      <c r="A4" s="7" t="s">
        <v>102</v>
      </c>
      <c r="L4" s="8"/>
    </row>
    <row r="5" spans="1:14" ht="15" customHeight="1" thickBot="1" x14ac:dyDescent="0.35">
      <c r="A5" s="7"/>
      <c r="M5" s="8" t="s">
        <v>0</v>
      </c>
    </row>
    <row r="6" spans="1:14" s="26" customFormat="1" ht="15.95" customHeight="1" x14ac:dyDescent="0.2">
      <c r="A6" s="1305" t="s">
        <v>88</v>
      </c>
      <c r="B6" s="1315" t="s">
        <v>103</v>
      </c>
      <c r="C6" s="1198" t="s">
        <v>365</v>
      </c>
      <c r="D6" s="1199"/>
      <c r="E6" s="1198" t="s">
        <v>440</v>
      </c>
      <c r="F6" s="1202"/>
      <c r="G6" s="1199"/>
      <c r="H6" s="1307" t="s">
        <v>507</v>
      </c>
      <c r="I6" s="1308"/>
      <c r="J6" s="1308"/>
      <c r="K6" s="1309"/>
      <c r="L6" s="1310" t="s">
        <v>509</v>
      </c>
      <c r="M6" s="1312" t="s">
        <v>510</v>
      </c>
    </row>
    <row r="7" spans="1:14" s="26" customFormat="1" ht="27" customHeight="1" thickBot="1" x14ac:dyDescent="0.25">
      <c r="A7" s="1306"/>
      <c r="B7" s="1317"/>
      <c r="C7" s="177" t="s">
        <v>108</v>
      </c>
      <c r="D7" s="178" t="s">
        <v>126</v>
      </c>
      <c r="E7" s="264" t="s">
        <v>109</v>
      </c>
      <c r="F7" s="265" t="s">
        <v>589</v>
      </c>
      <c r="G7" s="266" t="s">
        <v>591</v>
      </c>
      <c r="H7" s="824" t="s">
        <v>124</v>
      </c>
      <c r="I7" s="825" t="s">
        <v>125</v>
      </c>
      <c r="J7" s="826" t="s">
        <v>314</v>
      </c>
      <c r="K7" s="821" t="s">
        <v>85</v>
      </c>
      <c r="L7" s="1311"/>
      <c r="M7" s="1313"/>
    </row>
    <row r="8" spans="1:14" s="9" customFormat="1" ht="20.100000000000001" customHeight="1" thickBot="1" x14ac:dyDescent="0.3">
      <c r="B8" s="10" t="s">
        <v>104</v>
      </c>
      <c r="C8" s="11"/>
      <c r="D8" s="12"/>
      <c r="E8" s="11"/>
      <c r="F8" s="13"/>
      <c r="G8" s="13"/>
      <c r="H8" s="13"/>
      <c r="I8" s="13"/>
      <c r="J8" s="13"/>
      <c r="K8" s="268"/>
      <c r="L8" s="16"/>
      <c r="M8" s="16"/>
    </row>
    <row r="9" spans="1:14" s="90" customFormat="1" ht="20.100000000000001" customHeight="1" x14ac:dyDescent="0.2">
      <c r="A9" s="491">
        <v>6172</v>
      </c>
      <c r="B9" s="596" t="s">
        <v>105</v>
      </c>
      <c r="C9" s="542">
        <v>120</v>
      </c>
      <c r="D9" s="548">
        <v>0</v>
      </c>
      <c r="E9" s="542">
        <v>120</v>
      </c>
      <c r="F9" s="545">
        <v>120</v>
      </c>
      <c r="G9" s="549">
        <v>0</v>
      </c>
      <c r="H9" s="1025">
        <v>0</v>
      </c>
      <c r="I9" s="1026">
        <v>0</v>
      </c>
      <c r="J9" s="1027">
        <v>120</v>
      </c>
      <c r="K9" s="961">
        <f>SUM(H9:J9)</f>
        <v>120</v>
      </c>
      <c r="L9" s="441">
        <f>K9/E9*100</f>
        <v>100</v>
      </c>
      <c r="M9" s="442">
        <f>K9/F9*100</f>
        <v>100</v>
      </c>
      <c r="N9" s="618"/>
    </row>
    <row r="10" spans="1:14" s="90" customFormat="1" ht="20.100000000000001" customHeight="1" x14ac:dyDescent="0.2">
      <c r="A10" s="489">
        <v>6310</v>
      </c>
      <c r="B10" s="595" t="s">
        <v>106</v>
      </c>
      <c r="C10" s="477">
        <v>550</v>
      </c>
      <c r="D10" s="500">
        <v>377.14</v>
      </c>
      <c r="E10" s="477">
        <v>550</v>
      </c>
      <c r="F10" s="479">
        <v>550</v>
      </c>
      <c r="G10" s="486">
        <v>263.07</v>
      </c>
      <c r="H10" s="1022">
        <v>450</v>
      </c>
      <c r="I10" s="1023">
        <v>100</v>
      </c>
      <c r="J10" s="1024">
        <v>0</v>
      </c>
      <c r="K10" s="962">
        <f>SUM(H10:J10)</f>
        <v>550</v>
      </c>
      <c r="L10" s="459">
        <f>K10/E10*100</f>
        <v>100</v>
      </c>
      <c r="M10" s="460">
        <f>K10/F10*100</f>
        <v>100</v>
      </c>
      <c r="N10" s="618"/>
    </row>
    <row r="11" spans="1:14" s="90" customFormat="1" ht="20.100000000000001" customHeight="1" thickBot="1" x14ac:dyDescent="0.25">
      <c r="A11" s="489">
        <v>6399</v>
      </c>
      <c r="B11" s="597" t="s">
        <v>107</v>
      </c>
      <c r="C11" s="454">
        <v>8480</v>
      </c>
      <c r="D11" s="455">
        <v>39547.019999999997</v>
      </c>
      <c r="E11" s="454">
        <v>8572</v>
      </c>
      <c r="F11" s="457">
        <v>71599.600000000006</v>
      </c>
      <c r="G11" s="458">
        <v>66624.5</v>
      </c>
      <c r="H11" s="512">
        <v>8572</v>
      </c>
      <c r="I11" s="834">
        <v>0</v>
      </c>
      <c r="J11" s="1028">
        <v>0</v>
      </c>
      <c r="K11" s="962">
        <f>SUM(H11:J11)</f>
        <v>8572</v>
      </c>
      <c r="L11" s="459">
        <f>K11/E11*100</f>
        <v>100</v>
      </c>
      <c r="M11" s="460">
        <f>K11/F11*100</f>
        <v>11.97213392253588</v>
      </c>
      <c r="N11" s="618"/>
    </row>
    <row r="12" spans="1:14" ht="20.100000000000001" customHeight="1" thickBot="1" x14ac:dyDescent="0.25">
      <c r="A12" s="180"/>
      <c r="B12" s="401" t="s">
        <v>85</v>
      </c>
      <c r="C12" s="181">
        <f t="shared" ref="C12:K12" si="0">SUM(C9:C11)</f>
        <v>9150</v>
      </c>
      <c r="D12" s="182">
        <f t="shared" si="0"/>
        <v>39924.159999999996</v>
      </c>
      <c r="E12" s="181">
        <f t="shared" si="0"/>
        <v>9242</v>
      </c>
      <c r="F12" s="183">
        <f t="shared" si="0"/>
        <v>72269.600000000006</v>
      </c>
      <c r="G12" s="182">
        <f t="shared" si="0"/>
        <v>66887.570000000007</v>
      </c>
      <c r="H12" s="181">
        <f t="shared" si="0"/>
        <v>9022</v>
      </c>
      <c r="I12" s="956">
        <f t="shared" si="0"/>
        <v>100</v>
      </c>
      <c r="J12" s="1029">
        <f t="shared" si="0"/>
        <v>120</v>
      </c>
      <c r="K12" s="981">
        <f t="shared" si="0"/>
        <v>9242</v>
      </c>
      <c r="L12" s="398">
        <f>K12/E12*100</f>
        <v>100</v>
      </c>
      <c r="M12" s="728">
        <f>K12/F12*100</f>
        <v>12.788226308157233</v>
      </c>
      <c r="N12" s="17"/>
    </row>
    <row r="14" spans="1:14" x14ac:dyDescent="0.2">
      <c r="C14" s="3"/>
      <c r="E14" s="3"/>
      <c r="K14" s="3"/>
    </row>
    <row r="15" spans="1:14" x14ac:dyDescent="0.2">
      <c r="C15" s="3"/>
      <c r="E15" s="3"/>
      <c r="K15" s="3"/>
    </row>
  </sheetData>
  <mergeCells count="8">
    <mergeCell ref="A2:M2"/>
    <mergeCell ref="C6:D6"/>
    <mergeCell ref="E6:G6"/>
    <mergeCell ref="L6:L7"/>
    <mergeCell ref="M6:M7"/>
    <mergeCell ref="A6:A7"/>
    <mergeCell ref="B6:B7"/>
    <mergeCell ref="H6:K6"/>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ageSetUpPr fitToPage="1"/>
  </sheetPr>
  <dimension ref="A1:N15"/>
  <sheetViews>
    <sheetView workbookViewId="0"/>
  </sheetViews>
  <sheetFormatPr defaultRowHeight="12.75" x14ac:dyDescent="0.2"/>
  <cols>
    <col min="1" max="1" width="7.7109375" style="1" customWidth="1"/>
    <col min="2" max="2" width="47.7109375" style="1" customWidth="1"/>
    <col min="3" max="3" width="14.7109375" style="2" customWidth="1"/>
    <col min="4" max="4" width="14.7109375" style="3" customWidth="1"/>
    <col min="5" max="5" width="14.7109375" style="2" customWidth="1"/>
    <col min="6" max="6" width="16" style="3" customWidth="1"/>
    <col min="7" max="8" width="14.7109375" style="3" customWidth="1"/>
    <col min="9" max="9" width="15.5703125" style="3" customWidth="1"/>
    <col min="10" max="10" width="14.7109375" style="3" customWidth="1"/>
    <col min="11" max="11" width="13.85546875" style="787" customWidth="1"/>
    <col min="12" max="13" width="10.140625" style="5" customWidth="1"/>
    <col min="14" max="256" width="9.140625" style="1"/>
    <col min="257" max="257" width="6.7109375" style="1" customWidth="1"/>
    <col min="258" max="258" width="41.5703125" style="1" customWidth="1"/>
    <col min="259" max="266" width="14.7109375" style="1" customWidth="1"/>
    <col min="267" max="267" width="16.7109375" style="1" customWidth="1"/>
    <col min="268" max="268" width="10.140625" style="1" bestFit="1" customWidth="1"/>
    <col min="269" max="269" width="10.140625" style="1" customWidth="1"/>
    <col min="270" max="512" width="9.140625" style="1"/>
    <col min="513" max="513" width="6.7109375" style="1" customWidth="1"/>
    <col min="514" max="514" width="41.5703125" style="1" customWidth="1"/>
    <col min="515" max="522" width="14.7109375" style="1" customWidth="1"/>
    <col min="523" max="523" width="16.7109375" style="1" customWidth="1"/>
    <col min="524" max="524" width="10.140625" style="1" bestFit="1" customWidth="1"/>
    <col min="525" max="525" width="10.140625" style="1" customWidth="1"/>
    <col min="526" max="768" width="9.140625" style="1"/>
    <col min="769" max="769" width="6.7109375" style="1" customWidth="1"/>
    <col min="770" max="770" width="41.5703125" style="1" customWidth="1"/>
    <col min="771" max="778" width="14.7109375" style="1" customWidth="1"/>
    <col min="779" max="779" width="16.7109375" style="1" customWidth="1"/>
    <col min="780" max="780" width="10.140625" style="1" bestFit="1" customWidth="1"/>
    <col min="781" max="781" width="10.140625" style="1" customWidth="1"/>
    <col min="782" max="1024" width="9.140625" style="1"/>
    <col min="1025" max="1025" width="6.7109375" style="1" customWidth="1"/>
    <col min="1026" max="1026" width="41.5703125" style="1" customWidth="1"/>
    <col min="1027" max="1034" width="14.7109375" style="1" customWidth="1"/>
    <col min="1035" max="1035" width="16.7109375" style="1" customWidth="1"/>
    <col min="1036" max="1036" width="10.140625" style="1" bestFit="1" customWidth="1"/>
    <col min="1037" max="1037" width="10.140625" style="1" customWidth="1"/>
    <col min="1038" max="1280" width="9.140625" style="1"/>
    <col min="1281" max="1281" width="6.7109375" style="1" customWidth="1"/>
    <col min="1282" max="1282" width="41.5703125" style="1" customWidth="1"/>
    <col min="1283" max="1290" width="14.7109375" style="1" customWidth="1"/>
    <col min="1291" max="1291" width="16.7109375" style="1" customWidth="1"/>
    <col min="1292" max="1292" width="10.140625" style="1" bestFit="1" customWidth="1"/>
    <col min="1293" max="1293" width="10.140625" style="1" customWidth="1"/>
    <col min="1294" max="1536" width="9.140625" style="1"/>
    <col min="1537" max="1537" width="6.7109375" style="1" customWidth="1"/>
    <col min="1538" max="1538" width="41.5703125" style="1" customWidth="1"/>
    <col min="1539" max="1546" width="14.7109375" style="1" customWidth="1"/>
    <col min="1547" max="1547" width="16.7109375" style="1" customWidth="1"/>
    <col min="1548" max="1548" width="10.140625" style="1" bestFit="1" customWidth="1"/>
    <col min="1549" max="1549" width="10.140625" style="1" customWidth="1"/>
    <col min="1550" max="1792" width="9.140625" style="1"/>
    <col min="1793" max="1793" width="6.7109375" style="1" customWidth="1"/>
    <col min="1794" max="1794" width="41.5703125" style="1" customWidth="1"/>
    <col min="1795" max="1802" width="14.7109375" style="1" customWidth="1"/>
    <col min="1803" max="1803" width="16.7109375" style="1" customWidth="1"/>
    <col min="1804" max="1804" width="10.140625" style="1" bestFit="1" customWidth="1"/>
    <col min="1805" max="1805" width="10.140625" style="1" customWidth="1"/>
    <col min="1806" max="2048" width="9.140625" style="1"/>
    <col min="2049" max="2049" width="6.7109375" style="1" customWidth="1"/>
    <col min="2050" max="2050" width="41.5703125" style="1" customWidth="1"/>
    <col min="2051" max="2058" width="14.7109375" style="1" customWidth="1"/>
    <col min="2059" max="2059" width="16.7109375" style="1" customWidth="1"/>
    <col min="2060" max="2060" width="10.140625" style="1" bestFit="1" customWidth="1"/>
    <col min="2061" max="2061" width="10.140625" style="1" customWidth="1"/>
    <col min="2062" max="2304" width="9.140625" style="1"/>
    <col min="2305" max="2305" width="6.7109375" style="1" customWidth="1"/>
    <col min="2306" max="2306" width="41.5703125" style="1" customWidth="1"/>
    <col min="2307" max="2314" width="14.7109375" style="1" customWidth="1"/>
    <col min="2315" max="2315" width="16.7109375" style="1" customWidth="1"/>
    <col min="2316" max="2316" width="10.140625" style="1" bestFit="1" customWidth="1"/>
    <col min="2317" max="2317" width="10.140625" style="1" customWidth="1"/>
    <col min="2318" max="2560" width="9.140625" style="1"/>
    <col min="2561" max="2561" width="6.7109375" style="1" customWidth="1"/>
    <col min="2562" max="2562" width="41.5703125" style="1" customWidth="1"/>
    <col min="2563" max="2570" width="14.7109375" style="1" customWidth="1"/>
    <col min="2571" max="2571" width="16.7109375" style="1" customWidth="1"/>
    <col min="2572" max="2572" width="10.140625" style="1" bestFit="1" customWidth="1"/>
    <col min="2573" max="2573" width="10.140625" style="1" customWidth="1"/>
    <col min="2574" max="2816" width="9.140625" style="1"/>
    <col min="2817" max="2817" width="6.7109375" style="1" customWidth="1"/>
    <col min="2818" max="2818" width="41.5703125" style="1" customWidth="1"/>
    <col min="2819" max="2826" width="14.7109375" style="1" customWidth="1"/>
    <col min="2827" max="2827" width="16.7109375" style="1" customWidth="1"/>
    <col min="2828" max="2828" width="10.140625" style="1" bestFit="1" customWidth="1"/>
    <col min="2829" max="2829" width="10.140625" style="1" customWidth="1"/>
    <col min="2830" max="3072" width="9.140625" style="1"/>
    <col min="3073" max="3073" width="6.7109375" style="1" customWidth="1"/>
    <col min="3074" max="3074" width="41.5703125" style="1" customWidth="1"/>
    <col min="3075" max="3082" width="14.7109375" style="1" customWidth="1"/>
    <col min="3083" max="3083" width="16.7109375" style="1" customWidth="1"/>
    <col min="3084" max="3084" width="10.140625" style="1" bestFit="1" customWidth="1"/>
    <col min="3085" max="3085" width="10.140625" style="1" customWidth="1"/>
    <col min="3086" max="3328" width="9.140625" style="1"/>
    <col min="3329" max="3329" width="6.7109375" style="1" customWidth="1"/>
    <col min="3330" max="3330" width="41.5703125" style="1" customWidth="1"/>
    <col min="3331" max="3338" width="14.7109375" style="1" customWidth="1"/>
    <col min="3339" max="3339" width="16.7109375" style="1" customWidth="1"/>
    <col min="3340" max="3340" width="10.140625" style="1" bestFit="1" customWidth="1"/>
    <col min="3341" max="3341" width="10.140625" style="1" customWidth="1"/>
    <col min="3342" max="3584" width="9.140625" style="1"/>
    <col min="3585" max="3585" width="6.7109375" style="1" customWidth="1"/>
    <col min="3586" max="3586" width="41.5703125" style="1" customWidth="1"/>
    <col min="3587" max="3594" width="14.7109375" style="1" customWidth="1"/>
    <col min="3595" max="3595" width="16.7109375" style="1" customWidth="1"/>
    <col min="3596" max="3596" width="10.140625" style="1" bestFit="1" customWidth="1"/>
    <col min="3597" max="3597" width="10.140625" style="1" customWidth="1"/>
    <col min="3598" max="3840" width="9.140625" style="1"/>
    <col min="3841" max="3841" width="6.7109375" style="1" customWidth="1"/>
    <col min="3842" max="3842" width="41.5703125" style="1" customWidth="1"/>
    <col min="3843" max="3850" width="14.7109375" style="1" customWidth="1"/>
    <col min="3851" max="3851" width="16.7109375" style="1" customWidth="1"/>
    <col min="3852" max="3852" width="10.140625" style="1" bestFit="1" customWidth="1"/>
    <col min="3853" max="3853" width="10.140625" style="1" customWidth="1"/>
    <col min="3854" max="4096" width="9.140625" style="1"/>
    <col min="4097" max="4097" width="6.7109375" style="1" customWidth="1"/>
    <col min="4098" max="4098" width="41.5703125" style="1" customWidth="1"/>
    <col min="4099" max="4106" width="14.7109375" style="1" customWidth="1"/>
    <col min="4107" max="4107" width="16.7109375" style="1" customWidth="1"/>
    <col min="4108" max="4108" width="10.140625" style="1" bestFit="1" customWidth="1"/>
    <col min="4109" max="4109" width="10.140625" style="1" customWidth="1"/>
    <col min="4110" max="4352" width="9.140625" style="1"/>
    <col min="4353" max="4353" width="6.7109375" style="1" customWidth="1"/>
    <col min="4354" max="4354" width="41.5703125" style="1" customWidth="1"/>
    <col min="4355" max="4362" width="14.7109375" style="1" customWidth="1"/>
    <col min="4363" max="4363" width="16.7109375" style="1" customWidth="1"/>
    <col min="4364" max="4364" width="10.140625" style="1" bestFit="1" customWidth="1"/>
    <col min="4365" max="4365" width="10.140625" style="1" customWidth="1"/>
    <col min="4366" max="4608" width="9.140625" style="1"/>
    <col min="4609" max="4609" width="6.7109375" style="1" customWidth="1"/>
    <col min="4610" max="4610" width="41.5703125" style="1" customWidth="1"/>
    <col min="4611" max="4618" width="14.7109375" style="1" customWidth="1"/>
    <col min="4619" max="4619" width="16.7109375" style="1" customWidth="1"/>
    <col min="4620" max="4620" width="10.140625" style="1" bestFit="1" customWidth="1"/>
    <col min="4621" max="4621" width="10.140625" style="1" customWidth="1"/>
    <col min="4622" max="4864" width="9.140625" style="1"/>
    <col min="4865" max="4865" width="6.7109375" style="1" customWidth="1"/>
    <col min="4866" max="4866" width="41.5703125" style="1" customWidth="1"/>
    <col min="4867" max="4874" width="14.7109375" style="1" customWidth="1"/>
    <col min="4875" max="4875" width="16.7109375" style="1" customWidth="1"/>
    <col min="4876" max="4876" width="10.140625" style="1" bestFit="1" customWidth="1"/>
    <col min="4877" max="4877" width="10.140625" style="1" customWidth="1"/>
    <col min="4878" max="5120" width="9.140625" style="1"/>
    <col min="5121" max="5121" width="6.7109375" style="1" customWidth="1"/>
    <col min="5122" max="5122" width="41.5703125" style="1" customWidth="1"/>
    <col min="5123" max="5130" width="14.7109375" style="1" customWidth="1"/>
    <col min="5131" max="5131" width="16.7109375" style="1" customWidth="1"/>
    <col min="5132" max="5132" width="10.140625" style="1" bestFit="1" customWidth="1"/>
    <col min="5133" max="5133" width="10.140625" style="1" customWidth="1"/>
    <col min="5134" max="5376" width="9.140625" style="1"/>
    <col min="5377" max="5377" width="6.7109375" style="1" customWidth="1"/>
    <col min="5378" max="5378" width="41.5703125" style="1" customWidth="1"/>
    <col min="5379" max="5386" width="14.7109375" style="1" customWidth="1"/>
    <col min="5387" max="5387" width="16.7109375" style="1" customWidth="1"/>
    <col min="5388" max="5388" width="10.140625" style="1" bestFit="1" customWidth="1"/>
    <col min="5389" max="5389" width="10.140625" style="1" customWidth="1"/>
    <col min="5390" max="5632" width="9.140625" style="1"/>
    <col min="5633" max="5633" width="6.7109375" style="1" customWidth="1"/>
    <col min="5634" max="5634" width="41.5703125" style="1" customWidth="1"/>
    <col min="5635" max="5642" width="14.7109375" style="1" customWidth="1"/>
    <col min="5643" max="5643" width="16.7109375" style="1" customWidth="1"/>
    <col min="5644" max="5644" width="10.140625" style="1" bestFit="1" customWidth="1"/>
    <col min="5645" max="5645" width="10.140625" style="1" customWidth="1"/>
    <col min="5646" max="5888" width="9.140625" style="1"/>
    <col min="5889" max="5889" width="6.7109375" style="1" customWidth="1"/>
    <col min="5890" max="5890" width="41.5703125" style="1" customWidth="1"/>
    <col min="5891" max="5898" width="14.7109375" style="1" customWidth="1"/>
    <col min="5899" max="5899" width="16.7109375" style="1" customWidth="1"/>
    <col min="5900" max="5900" width="10.140625" style="1" bestFit="1" customWidth="1"/>
    <col min="5901" max="5901" width="10.140625" style="1" customWidth="1"/>
    <col min="5902" max="6144" width="9.140625" style="1"/>
    <col min="6145" max="6145" width="6.7109375" style="1" customWidth="1"/>
    <col min="6146" max="6146" width="41.5703125" style="1" customWidth="1"/>
    <col min="6147" max="6154" width="14.7109375" style="1" customWidth="1"/>
    <col min="6155" max="6155" width="16.7109375" style="1" customWidth="1"/>
    <col min="6156" max="6156" width="10.140625" style="1" bestFit="1" customWidth="1"/>
    <col min="6157" max="6157" width="10.140625" style="1" customWidth="1"/>
    <col min="6158" max="6400" width="9.140625" style="1"/>
    <col min="6401" max="6401" width="6.7109375" style="1" customWidth="1"/>
    <col min="6402" max="6402" width="41.5703125" style="1" customWidth="1"/>
    <col min="6403" max="6410" width="14.7109375" style="1" customWidth="1"/>
    <col min="6411" max="6411" width="16.7109375" style="1" customWidth="1"/>
    <col min="6412" max="6412" width="10.140625" style="1" bestFit="1" customWidth="1"/>
    <col min="6413" max="6413" width="10.140625" style="1" customWidth="1"/>
    <col min="6414" max="6656" width="9.140625" style="1"/>
    <col min="6657" max="6657" width="6.7109375" style="1" customWidth="1"/>
    <col min="6658" max="6658" width="41.5703125" style="1" customWidth="1"/>
    <col min="6659" max="6666" width="14.7109375" style="1" customWidth="1"/>
    <col min="6667" max="6667" width="16.7109375" style="1" customWidth="1"/>
    <col min="6668" max="6668" width="10.140625" style="1" bestFit="1" customWidth="1"/>
    <col min="6669" max="6669" width="10.140625" style="1" customWidth="1"/>
    <col min="6670" max="6912" width="9.140625" style="1"/>
    <col min="6913" max="6913" width="6.7109375" style="1" customWidth="1"/>
    <col min="6914" max="6914" width="41.5703125" style="1" customWidth="1"/>
    <col min="6915" max="6922" width="14.7109375" style="1" customWidth="1"/>
    <col min="6923" max="6923" width="16.7109375" style="1" customWidth="1"/>
    <col min="6924" max="6924" width="10.140625" style="1" bestFit="1" customWidth="1"/>
    <col min="6925" max="6925" width="10.140625" style="1" customWidth="1"/>
    <col min="6926" max="7168" width="9.140625" style="1"/>
    <col min="7169" max="7169" width="6.7109375" style="1" customWidth="1"/>
    <col min="7170" max="7170" width="41.5703125" style="1" customWidth="1"/>
    <col min="7171" max="7178" width="14.7109375" style="1" customWidth="1"/>
    <col min="7179" max="7179" width="16.7109375" style="1" customWidth="1"/>
    <col min="7180" max="7180" width="10.140625" style="1" bestFit="1" customWidth="1"/>
    <col min="7181" max="7181" width="10.140625" style="1" customWidth="1"/>
    <col min="7182" max="7424" width="9.140625" style="1"/>
    <col min="7425" max="7425" width="6.7109375" style="1" customWidth="1"/>
    <col min="7426" max="7426" width="41.5703125" style="1" customWidth="1"/>
    <col min="7427" max="7434" width="14.7109375" style="1" customWidth="1"/>
    <col min="7435" max="7435" width="16.7109375" style="1" customWidth="1"/>
    <col min="7436" max="7436" width="10.140625" style="1" bestFit="1" customWidth="1"/>
    <col min="7437" max="7437" width="10.140625" style="1" customWidth="1"/>
    <col min="7438" max="7680" width="9.140625" style="1"/>
    <col min="7681" max="7681" width="6.7109375" style="1" customWidth="1"/>
    <col min="7682" max="7682" width="41.5703125" style="1" customWidth="1"/>
    <col min="7683" max="7690" width="14.7109375" style="1" customWidth="1"/>
    <col min="7691" max="7691" width="16.7109375" style="1" customWidth="1"/>
    <col min="7692" max="7692" width="10.140625" style="1" bestFit="1" customWidth="1"/>
    <col min="7693" max="7693" width="10.140625" style="1" customWidth="1"/>
    <col min="7694" max="7936" width="9.140625" style="1"/>
    <col min="7937" max="7937" width="6.7109375" style="1" customWidth="1"/>
    <col min="7938" max="7938" width="41.5703125" style="1" customWidth="1"/>
    <col min="7939" max="7946" width="14.7109375" style="1" customWidth="1"/>
    <col min="7947" max="7947" width="16.7109375" style="1" customWidth="1"/>
    <col min="7948" max="7948" width="10.140625" style="1" bestFit="1" customWidth="1"/>
    <col min="7949" max="7949" width="10.140625" style="1" customWidth="1"/>
    <col min="7950" max="8192" width="9.140625" style="1"/>
    <col min="8193" max="8193" width="6.7109375" style="1" customWidth="1"/>
    <col min="8194" max="8194" width="41.5703125" style="1" customWidth="1"/>
    <col min="8195" max="8202" width="14.7109375" style="1" customWidth="1"/>
    <col min="8203" max="8203" width="16.7109375" style="1" customWidth="1"/>
    <col min="8204" max="8204" width="10.140625" style="1" bestFit="1" customWidth="1"/>
    <col min="8205" max="8205" width="10.140625" style="1" customWidth="1"/>
    <col min="8206" max="8448" width="9.140625" style="1"/>
    <col min="8449" max="8449" width="6.7109375" style="1" customWidth="1"/>
    <col min="8450" max="8450" width="41.5703125" style="1" customWidth="1"/>
    <col min="8451" max="8458" width="14.7109375" style="1" customWidth="1"/>
    <col min="8459" max="8459" width="16.7109375" style="1" customWidth="1"/>
    <col min="8460" max="8460" width="10.140625" style="1" bestFit="1" customWidth="1"/>
    <col min="8461" max="8461" width="10.140625" style="1" customWidth="1"/>
    <col min="8462" max="8704" width="9.140625" style="1"/>
    <col min="8705" max="8705" width="6.7109375" style="1" customWidth="1"/>
    <col min="8706" max="8706" width="41.5703125" style="1" customWidth="1"/>
    <col min="8707" max="8714" width="14.7109375" style="1" customWidth="1"/>
    <col min="8715" max="8715" width="16.7109375" style="1" customWidth="1"/>
    <col min="8716" max="8716" width="10.140625" style="1" bestFit="1" customWidth="1"/>
    <col min="8717" max="8717" width="10.140625" style="1" customWidth="1"/>
    <col min="8718" max="8960" width="9.140625" style="1"/>
    <col min="8961" max="8961" width="6.7109375" style="1" customWidth="1"/>
    <col min="8962" max="8962" width="41.5703125" style="1" customWidth="1"/>
    <col min="8963" max="8970" width="14.7109375" style="1" customWidth="1"/>
    <col min="8971" max="8971" width="16.7109375" style="1" customWidth="1"/>
    <col min="8972" max="8972" width="10.140625" style="1" bestFit="1" customWidth="1"/>
    <col min="8973" max="8973" width="10.140625" style="1" customWidth="1"/>
    <col min="8974" max="9216" width="9.140625" style="1"/>
    <col min="9217" max="9217" width="6.7109375" style="1" customWidth="1"/>
    <col min="9218" max="9218" width="41.5703125" style="1" customWidth="1"/>
    <col min="9219" max="9226" width="14.7109375" style="1" customWidth="1"/>
    <col min="9227" max="9227" width="16.7109375" style="1" customWidth="1"/>
    <col min="9228" max="9228" width="10.140625" style="1" bestFit="1" customWidth="1"/>
    <col min="9229" max="9229" width="10.140625" style="1" customWidth="1"/>
    <col min="9230" max="9472" width="9.140625" style="1"/>
    <col min="9473" max="9473" width="6.7109375" style="1" customWidth="1"/>
    <col min="9474" max="9474" width="41.5703125" style="1" customWidth="1"/>
    <col min="9475" max="9482" width="14.7109375" style="1" customWidth="1"/>
    <col min="9483" max="9483" width="16.7109375" style="1" customWidth="1"/>
    <col min="9484" max="9484" width="10.140625" style="1" bestFit="1" customWidth="1"/>
    <col min="9485" max="9485" width="10.140625" style="1" customWidth="1"/>
    <col min="9486" max="9728" width="9.140625" style="1"/>
    <col min="9729" max="9729" width="6.7109375" style="1" customWidth="1"/>
    <col min="9730" max="9730" width="41.5703125" style="1" customWidth="1"/>
    <col min="9731" max="9738" width="14.7109375" style="1" customWidth="1"/>
    <col min="9739" max="9739" width="16.7109375" style="1" customWidth="1"/>
    <col min="9740" max="9740" width="10.140625" style="1" bestFit="1" customWidth="1"/>
    <col min="9741" max="9741" width="10.140625" style="1" customWidth="1"/>
    <col min="9742" max="9984" width="9.140625" style="1"/>
    <col min="9985" max="9985" width="6.7109375" style="1" customWidth="1"/>
    <col min="9986" max="9986" width="41.5703125" style="1" customWidth="1"/>
    <col min="9987" max="9994" width="14.7109375" style="1" customWidth="1"/>
    <col min="9995" max="9995" width="16.7109375" style="1" customWidth="1"/>
    <col min="9996" max="9996" width="10.140625" style="1" bestFit="1" customWidth="1"/>
    <col min="9997" max="9997" width="10.140625" style="1" customWidth="1"/>
    <col min="9998" max="10240" width="9.140625" style="1"/>
    <col min="10241" max="10241" width="6.7109375" style="1" customWidth="1"/>
    <col min="10242" max="10242" width="41.5703125" style="1" customWidth="1"/>
    <col min="10243" max="10250" width="14.7109375" style="1" customWidth="1"/>
    <col min="10251" max="10251" width="16.7109375" style="1" customWidth="1"/>
    <col min="10252" max="10252" width="10.140625" style="1" bestFit="1" customWidth="1"/>
    <col min="10253" max="10253" width="10.140625" style="1" customWidth="1"/>
    <col min="10254" max="10496" width="9.140625" style="1"/>
    <col min="10497" max="10497" width="6.7109375" style="1" customWidth="1"/>
    <col min="10498" max="10498" width="41.5703125" style="1" customWidth="1"/>
    <col min="10499" max="10506" width="14.7109375" style="1" customWidth="1"/>
    <col min="10507" max="10507" width="16.7109375" style="1" customWidth="1"/>
    <col min="10508" max="10508" width="10.140625" style="1" bestFit="1" customWidth="1"/>
    <col min="10509" max="10509" width="10.140625" style="1" customWidth="1"/>
    <col min="10510" max="10752" width="9.140625" style="1"/>
    <col min="10753" max="10753" width="6.7109375" style="1" customWidth="1"/>
    <col min="10754" max="10754" width="41.5703125" style="1" customWidth="1"/>
    <col min="10755" max="10762" width="14.7109375" style="1" customWidth="1"/>
    <col min="10763" max="10763" width="16.7109375" style="1" customWidth="1"/>
    <col min="10764" max="10764" width="10.140625" style="1" bestFit="1" customWidth="1"/>
    <col min="10765" max="10765" width="10.140625" style="1" customWidth="1"/>
    <col min="10766" max="11008" width="9.140625" style="1"/>
    <col min="11009" max="11009" width="6.7109375" style="1" customWidth="1"/>
    <col min="11010" max="11010" width="41.5703125" style="1" customWidth="1"/>
    <col min="11011" max="11018" width="14.7109375" style="1" customWidth="1"/>
    <col min="11019" max="11019" width="16.7109375" style="1" customWidth="1"/>
    <col min="11020" max="11020" width="10.140625" style="1" bestFit="1" customWidth="1"/>
    <col min="11021" max="11021" width="10.140625" style="1" customWidth="1"/>
    <col min="11022" max="11264" width="9.140625" style="1"/>
    <col min="11265" max="11265" width="6.7109375" style="1" customWidth="1"/>
    <col min="11266" max="11266" width="41.5703125" style="1" customWidth="1"/>
    <col min="11267" max="11274" width="14.7109375" style="1" customWidth="1"/>
    <col min="11275" max="11275" width="16.7109375" style="1" customWidth="1"/>
    <col min="11276" max="11276" width="10.140625" style="1" bestFit="1" customWidth="1"/>
    <col min="11277" max="11277" width="10.140625" style="1" customWidth="1"/>
    <col min="11278" max="11520" width="9.140625" style="1"/>
    <col min="11521" max="11521" width="6.7109375" style="1" customWidth="1"/>
    <col min="11522" max="11522" width="41.5703125" style="1" customWidth="1"/>
    <col min="11523" max="11530" width="14.7109375" style="1" customWidth="1"/>
    <col min="11531" max="11531" width="16.7109375" style="1" customWidth="1"/>
    <col min="11532" max="11532" width="10.140625" style="1" bestFit="1" customWidth="1"/>
    <col min="11533" max="11533" width="10.140625" style="1" customWidth="1"/>
    <col min="11534" max="11776" width="9.140625" style="1"/>
    <col min="11777" max="11777" width="6.7109375" style="1" customWidth="1"/>
    <col min="11778" max="11778" width="41.5703125" style="1" customWidth="1"/>
    <col min="11779" max="11786" width="14.7109375" style="1" customWidth="1"/>
    <col min="11787" max="11787" width="16.7109375" style="1" customWidth="1"/>
    <col min="11788" max="11788" width="10.140625" style="1" bestFit="1" customWidth="1"/>
    <col min="11789" max="11789" width="10.140625" style="1" customWidth="1"/>
    <col min="11790" max="12032" width="9.140625" style="1"/>
    <col min="12033" max="12033" width="6.7109375" style="1" customWidth="1"/>
    <col min="12034" max="12034" width="41.5703125" style="1" customWidth="1"/>
    <col min="12035" max="12042" width="14.7109375" style="1" customWidth="1"/>
    <col min="12043" max="12043" width="16.7109375" style="1" customWidth="1"/>
    <col min="12044" max="12044" width="10.140625" style="1" bestFit="1" customWidth="1"/>
    <col min="12045" max="12045" width="10.140625" style="1" customWidth="1"/>
    <col min="12046" max="12288" width="9.140625" style="1"/>
    <col min="12289" max="12289" width="6.7109375" style="1" customWidth="1"/>
    <col min="12290" max="12290" width="41.5703125" style="1" customWidth="1"/>
    <col min="12291" max="12298" width="14.7109375" style="1" customWidth="1"/>
    <col min="12299" max="12299" width="16.7109375" style="1" customWidth="1"/>
    <col min="12300" max="12300" width="10.140625" style="1" bestFit="1" customWidth="1"/>
    <col min="12301" max="12301" width="10.140625" style="1" customWidth="1"/>
    <col min="12302" max="12544" width="9.140625" style="1"/>
    <col min="12545" max="12545" width="6.7109375" style="1" customWidth="1"/>
    <col min="12546" max="12546" width="41.5703125" style="1" customWidth="1"/>
    <col min="12547" max="12554" width="14.7109375" style="1" customWidth="1"/>
    <col min="12555" max="12555" width="16.7109375" style="1" customWidth="1"/>
    <col min="12556" max="12556" width="10.140625" style="1" bestFit="1" customWidth="1"/>
    <col min="12557" max="12557" width="10.140625" style="1" customWidth="1"/>
    <col min="12558" max="12800" width="9.140625" style="1"/>
    <col min="12801" max="12801" width="6.7109375" style="1" customWidth="1"/>
    <col min="12802" max="12802" width="41.5703125" style="1" customWidth="1"/>
    <col min="12803" max="12810" width="14.7109375" style="1" customWidth="1"/>
    <col min="12811" max="12811" width="16.7109375" style="1" customWidth="1"/>
    <col min="12812" max="12812" width="10.140625" style="1" bestFit="1" customWidth="1"/>
    <col min="12813" max="12813" width="10.140625" style="1" customWidth="1"/>
    <col min="12814" max="13056" width="9.140625" style="1"/>
    <col min="13057" max="13057" width="6.7109375" style="1" customWidth="1"/>
    <col min="13058" max="13058" width="41.5703125" style="1" customWidth="1"/>
    <col min="13059" max="13066" width="14.7109375" style="1" customWidth="1"/>
    <col min="13067" max="13067" width="16.7109375" style="1" customWidth="1"/>
    <col min="13068" max="13068" width="10.140625" style="1" bestFit="1" customWidth="1"/>
    <col min="13069" max="13069" width="10.140625" style="1" customWidth="1"/>
    <col min="13070" max="13312" width="9.140625" style="1"/>
    <col min="13313" max="13313" width="6.7109375" style="1" customWidth="1"/>
    <col min="13314" max="13314" width="41.5703125" style="1" customWidth="1"/>
    <col min="13315" max="13322" width="14.7109375" style="1" customWidth="1"/>
    <col min="13323" max="13323" width="16.7109375" style="1" customWidth="1"/>
    <col min="13324" max="13324" width="10.140625" style="1" bestFit="1" customWidth="1"/>
    <col min="13325" max="13325" width="10.140625" style="1" customWidth="1"/>
    <col min="13326" max="13568" width="9.140625" style="1"/>
    <col min="13569" max="13569" width="6.7109375" style="1" customWidth="1"/>
    <col min="13570" max="13570" width="41.5703125" style="1" customWidth="1"/>
    <col min="13571" max="13578" width="14.7109375" style="1" customWidth="1"/>
    <col min="13579" max="13579" width="16.7109375" style="1" customWidth="1"/>
    <col min="13580" max="13580" width="10.140625" style="1" bestFit="1" customWidth="1"/>
    <col min="13581" max="13581" width="10.140625" style="1" customWidth="1"/>
    <col min="13582" max="13824" width="9.140625" style="1"/>
    <col min="13825" max="13825" width="6.7109375" style="1" customWidth="1"/>
    <col min="13826" max="13826" width="41.5703125" style="1" customWidth="1"/>
    <col min="13827" max="13834" width="14.7109375" style="1" customWidth="1"/>
    <col min="13835" max="13835" width="16.7109375" style="1" customWidth="1"/>
    <col min="13836" max="13836" width="10.140625" style="1" bestFit="1" customWidth="1"/>
    <col min="13837" max="13837" width="10.140625" style="1" customWidth="1"/>
    <col min="13838" max="14080" width="9.140625" style="1"/>
    <col min="14081" max="14081" width="6.7109375" style="1" customWidth="1"/>
    <col min="14082" max="14082" width="41.5703125" style="1" customWidth="1"/>
    <col min="14083" max="14090" width="14.7109375" style="1" customWidth="1"/>
    <col min="14091" max="14091" width="16.7109375" style="1" customWidth="1"/>
    <col min="14092" max="14092" width="10.140625" style="1" bestFit="1" customWidth="1"/>
    <col min="14093" max="14093" width="10.140625" style="1" customWidth="1"/>
    <col min="14094" max="14336" width="9.140625" style="1"/>
    <col min="14337" max="14337" width="6.7109375" style="1" customWidth="1"/>
    <col min="14338" max="14338" width="41.5703125" style="1" customWidth="1"/>
    <col min="14339" max="14346" width="14.7109375" style="1" customWidth="1"/>
    <col min="14347" max="14347" width="16.7109375" style="1" customWidth="1"/>
    <col min="14348" max="14348" width="10.140625" style="1" bestFit="1" customWidth="1"/>
    <col min="14349" max="14349" width="10.140625" style="1" customWidth="1"/>
    <col min="14350" max="14592" width="9.140625" style="1"/>
    <col min="14593" max="14593" width="6.7109375" style="1" customWidth="1"/>
    <col min="14594" max="14594" width="41.5703125" style="1" customWidth="1"/>
    <col min="14595" max="14602" width="14.7109375" style="1" customWidth="1"/>
    <col min="14603" max="14603" width="16.7109375" style="1" customWidth="1"/>
    <col min="14604" max="14604" width="10.140625" style="1" bestFit="1" customWidth="1"/>
    <col min="14605" max="14605" width="10.140625" style="1" customWidth="1"/>
    <col min="14606" max="14848" width="9.140625" style="1"/>
    <col min="14849" max="14849" width="6.7109375" style="1" customWidth="1"/>
    <col min="14850" max="14850" width="41.5703125" style="1" customWidth="1"/>
    <col min="14851" max="14858" width="14.7109375" style="1" customWidth="1"/>
    <col min="14859" max="14859" width="16.7109375" style="1" customWidth="1"/>
    <col min="14860" max="14860" width="10.140625" style="1" bestFit="1" customWidth="1"/>
    <col min="14861" max="14861" width="10.140625" style="1" customWidth="1"/>
    <col min="14862" max="15104" width="9.140625" style="1"/>
    <col min="15105" max="15105" width="6.7109375" style="1" customWidth="1"/>
    <col min="15106" max="15106" width="41.5703125" style="1" customWidth="1"/>
    <col min="15107" max="15114" width="14.7109375" style="1" customWidth="1"/>
    <col min="15115" max="15115" width="16.7109375" style="1" customWidth="1"/>
    <col min="15116" max="15116" width="10.140625" style="1" bestFit="1" customWidth="1"/>
    <col min="15117" max="15117" width="10.140625" style="1" customWidth="1"/>
    <col min="15118" max="15360" width="9.140625" style="1"/>
    <col min="15361" max="15361" width="6.7109375" style="1" customWidth="1"/>
    <col min="15362" max="15362" width="41.5703125" style="1" customWidth="1"/>
    <col min="15363" max="15370" width="14.7109375" style="1" customWidth="1"/>
    <col min="15371" max="15371" width="16.7109375" style="1" customWidth="1"/>
    <col min="15372" max="15372" width="10.140625" style="1" bestFit="1" customWidth="1"/>
    <col min="15373" max="15373" width="10.140625" style="1" customWidth="1"/>
    <col min="15374" max="15616" width="9.140625" style="1"/>
    <col min="15617" max="15617" width="6.7109375" style="1" customWidth="1"/>
    <col min="15618" max="15618" width="41.5703125" style="1" customWidth="1"/>
    <col min="15619" max="15626" width="14.7109375" style="1" customWidth="1"/>
    <col min="15627" max="15627" width="16.7109375" style="1" customWidth="1"/>
    <col min="15628" max="15628" width="10.140625" style="1" bestFit="1" customWidth="1"/>
    <col min="15629" max="15629" width="10.140625" style="1" customWidth="1"/>
    <col min="15630" max="15872" width="9.140625" style="1"/>
    <col min="15873" max="15873" width="6.7109375" style="1" customWidth="1"/>
    <col min="15874" max="15874" width="41.5703125" style="1" customWidth="1"/>
    <col min="15875" max="15882" width="14.7109375" style="1" customWidth="1"/>
    <col min="15883" max="15883" width="16.7109375" style="1" customWidth="1"/>
    <col min="15884" max="15884" width="10.140625" style="1" bestFit="1" customWidth="1"/>
    <col min="15885" max="15885" width="10.140625" style="1" customWidth="1"/>
    <col min="15886" max="16128" width="9.140625" style="1"/>
    <col min="16129" max="16129" width="6.7109375" style="1" customWidth="1"/>
    <col min="16130" max="16130" width="41.5703125" style="1" customWidth="1"/>
    <col min="16131" max="16138" width="14.7109375" style="1" customWidth="1"/>
    <col min="16139" max="16139" width="16.7109375" style="1" customWidth="1"/>
    <col min="16140" max="16140" width="10.140625" style="1" bestFit="1" customWidth="1"/>
    <col min="16141" max="16141" width="10.140625" style="1" customWidth="1"/>
    <col min="16142" max="16384" width="9.140625" style="1"/>
  </cols>
  <sheetData>
    <row r="1" spans="1:14" ht="15" x14ac:dyDescent="0.25">
      <c r="M1" s="6"/>
    </row>
    <row r="2" spans="1:14" ht="20.100000000000001" customHeight="1" x14ac:dyDescent="0.35">
      <c r="A2" s="1303" t="s">
        <v>508</v>
      </c>
      <c r="B2" s="1303"/>
      <c r="C2" s="1303"/>
      <c r="D2" s="1303"/>
      <c r="E2" s="1303"/>
      <c r="F2" s="1303"/>
      <c r="G2" s="1303"/>
      <c r="H2" s="1303"/>
      <c r="I2" s="1303"/>
      <c r="J2" s="1303"/>
      <c r="K2" s="1303"/>
      <c r="L2" s="1303"/>
      <c r="M2" s="1303"/>
      <c r="N2" s="29"/>
    </row>
    <row r="3" spans="1:14" ht="15" customHeight="1" x14ac:dyDescent="0.2"/>
    <row r="4" spans="1:14" ht="18.75" x14ac:dyDescent="0.3">
      <c r="A4" s="7" t="s">
        <v>253</v>
      </c>
      <c r="L4" s="8"/>
    </row>
    <row r="5" spans="1:14" ht="15" customHeight="1" thickBot="1" x14ac:dyDescent="0.35">
      <c r="A5" s="7"/>
      <c r="M5" s="8" t="s">
        <v>0</v>
      </c>
    </row>
    <row r="6" spans="1:14" s="26" customFormat="1" ht="15.95" customHeight="1" x14ac:dyDescent="0.2">
      <c r="A6" s="1305" t="s">
        <v>88</v>
      </c>
      <c r="B6" s="1421" t="s">
        <v>103</v>
      </c>
      <c r="C6" s="1198" t="s">
        <v>365</v>
      </c>
      <c r="D6" s="1199"/>
      <c r="E6" s="1198" t="s">
        <v>440</v>
      </c>
      <c r="F6" s="1202"/>
      <c r="G6" s="1199"/>
      <c r="H6" s="1307" t="s">
        <v>507</v>
      </c>
      <c r="I6" s="1308"/>
      <c r="J6" s="1308"/>
      <c r="K6" s="1309"/>
      <c r="L6" s="1310" t="s">
        <v>509</v>
      </c>
      <c r="M6" s="1312" t="s">
        <v>510</v>
      </c>
    </row>
    <row r="7" spans="1:14" s="26" customFormat="1" ht="27" customHeight="1" thickBot="1" x14ac:dyDescent="0.25">
      <c r="A7" s="1306"/>
      <c r="B7" s="1422"/>
      <c r="C7" s="177" t="s">
        <v>108</v>
      </c>
      <c r="D7" s="178" t="s">
        <v>126</v>
      </c>
      <c r="E7" s="264" t="s">
        <v>109</v>
      </c>
      <c r="F7" s="265" t="s">
        <v>589</v>
      </c>
      <c r="G7" s="266" t="s">
        <v>591</v>
      </c>
      <c r="H7" s="824" t="s">
        <v>124</v>
      </c>
      <c r="I7" s="825" t="s">
        <v>125</v>
      </c>
      <c r="J7" s="826" t="s">
        <v>314</v>
      </c>
      <c r="K7" s="821" t="s">
        <v>85</v>
      </c>
      <c r="L7" s="1311"/>
      <c r="M7" s="1313"/>
    </row>
    <row r="8" spans="1:14" s="9" customFormat="1" ht="20.100000000000001" customHeight="1" thickBot="1" x14ac:dyDescent="0.3">
      <c r="B8" s="10" t="s">
        <v>104</v>
      </c>
      <c r="C8" s="11"/>
      <c r="D8" s="12"/>
      <c r="E8" s="11"/>
      <c r="F8" s="13"/>
      <c r="G8" s="13"/>
      <c r="H8" s="13"/>
      <c r="I8" s="13"/>
      <c r="J8" s="13"/>
      <c r="K8" s="268"/>
      <c r="L8" s="16"/>
      <c r="M8" s="16"/>
    </row>
    <row r="9" spans="1:14" s="19" customFormat="1" ht="34.5" customHeight="1" x14ac:dyDescent="0.25">
      <c r="A9" s="491">
        <v>6172</v>
      </c>
      <c r="B9" s="1157" t="s">
        <v>501</v>
      </c>
      <c r="C9" s="436">
        <v>500</v>
      </c>
      <c r="D9" s="437">
        <v>59.53</v>
      </c>
      <c r="E9" s="436">
        <v>400</v>
      </c>
      <c r="F9" s="558">
        <v>400</v>
      </c>
      <c r="G9" s="492">
        <v>119.17</v>
      </c>
      <c r="H9" s="472">
        <v>0</v>
      </c>
      <c r="I9" s="438">
        <v>0</v>
      </c>
      <c r="J9" s="1021">
        <v>180</v>
      </c>
      <c r="K9" s="961">
        <f>SUM(H9:J9)</f>
        <v>180</v>
      </c>
      <c r="L9" s="441">
        <f>K9/E9*100</f>
        <v>45</v>
      </c>
      <c r="M9" s="442">
        <f>K9/F9*100</f>
        <v>45</v>
      </c>
      <c r="N9" s="18"/>
    </row>
    <row r="10" spans="1:14" s="19" customFormat="1" ht="48" customHeight="1" x14ac:dyDescent="0.25">
      <c r="A10" s="489">
        <v>6172</v>
      </c>
      <c r="B10" s="1158" t="s">
        <v>588</v>
      </c>
      <c r="C10" s="454">
        <v>6260</v>
      </c>
      <c r="D10" s="455">
        <v>7246.09</v>
      </c>
      <c r="E10" s="454">
        <v>6438</v>
      </c>
      <c r="F10" s="933">
        <v>10852.42</v>
      </c>
      <c r="G10" s="473">
        <v>5048.2</v>
      </c>
      <c r="H10" s="512">
        <v>0</v>
      </c>
      <c r="I10" s="834">
        <v>0</v>
      </c>
      <c r="J10" s="1028">
        <v>14658</v>
      </c>
      <c r="K10" s="1020">
        <f>SUM(H10:J10)</f>
        <v>14658</v>
      </c>
      <c r="L10" s="459">
        <f t="shared" ref="L10" si="0">K10/E10*100</f>
        <v>227.67940354147251</v>
      </c>
      <c r="M10" s="460">
        <f t="shared" ref="M10" si="1">K10/F10*100</f>
        <v>135.06664872903923</v>
      </c>
      <c r="N10" s="18"/>
    </row>
    <row r="11" spans="1:14" s="19" customFormat="1" ht="20.100000000000001" customHeight="1" thickBot="1" x14ac:dyDescent="0.3">
      <c r="A11" s="1187">
        <v>6172</v>
      </c>
      <c r="B11" s="1159" t="s">
        <v>110</v>
      </c>
      <c r="C11" s="481">
        <v>50</v>
      </c>
      <c r="D11" s="505">
        <v>0</v>
      </c>
      <c r="E11" s="481">
        <v>40</v>
      </c>
      <c r="F11" s="1160">
        <v>40</v>
      </c>
      <c r="G11" s="553">
        <v>0</v>
      </c>
      <c r="H11" s="743">
        <v>0</v>
      </c>
      <c r="I11" s="979">
        <v>0</v>
      </c>
      <c r="J11" s="1059">
        <v>40</v>
      </c>
      <c r="K11" s="980">
        <f>SUM(H11:J11)</f>
        <v>40</v>
      </c>
      <c r="L11" s="1161">
        <f t="shared" ref="L11" si="2">K11/E11*100</f>
        <v>100</v>
      </c>
      <c r="M11" s="1162">
        <f t="shared" ref="M11" si="3">K11/F11*100</f>
        <v>100</v>
      </c>
      <c r="N11" s="18"/>
    </row>
    <row r="12" spans="1:14" s="19" customFormat="1" ht="20.100000000000001" customHeight="1" thickBot="1" x14ac:dyDescent="0.3">
      <c r="A12" s="186"/>
      <c r="B12" s="196" t="s">
        <v>85</v>
      </c>
      <c r="C12" s="181">
        <f t="shared" ref="C12:K12" si="4">SUM(C9:C11)</f>
        <v>6810</v>
      </c>
      <c r="D12" s="182">
        <f t="shared" si="4"/>
        <v>7305.62</v>
      </c>
      <c r="E12" s="181">
        <f t="shared" si="4"/>
        <v>6878</v>
      </c>
      <c r="F12" s="183">
        <f t="shared" si="4"/>
        <v>11292.42</v>
      </c>
      <c r="G12" s="182">
        <f t="shared" si="4"/>
        <v>5167.37</v>
      </c>
      <c r="H12" s="181">
        <f t="shared" si="4"/>
        <v>0</v>
      </c>
      <c r="I12" s="956">
        <f t="shared" si="4"/>
        <v>0</v>
      </c>
      <c r="J12" s="1029">
        <f t="shared" si="4"/>
        <v>14878</v>
      </c>
      <c r="K12" s="981">
        <f t="shared" si="4"/>
        <v>14878</v>
      </c>
      <c r="L12" s="398">
        <f>K12/E12*100</f>
        <v>216.3128816516429</v>
      </c>
      <c r="M12" s="399">
        <f>K12/F12*100</f>
        <v>131.75209565354459</v>
      </c>
      <c r="N12" s="18"/>
    </row>
    <row r="13" spans="1:14" ht="15" customHeight="1" x14ac:dyDescent="0.25">
      <c r="A13" s="20"/>
      <c r="B13" s="20"/>
      <c r="C13" s="168"/>
      <c r="D13" s="167"/>
      <c r="E13" s="168"/>
      <c r="F13" s="170"/>
      <c r="G13" s="170"/>
      <c r="H13" s="170"/>
      <c r="I13" s="170"/>
      <c r="J13" s="170"/>
      <c r="K13" s="170"/>
      <c r="L13" s="24"/>
      <c r="M13" s="25"/>
      <c r="N13" s="17"/>
    </row>
    <row r="14" spans="1:14" x14ac:dyDescent="0.2">
      <c r="C14" s="3"/>
      <c r="E14" s="3"/>
      <c r="K14" s="3"/>
    </row>
    <row r="15" spans="1:14" x14ac:dyDescent="0.2">
      <c r="C15" s="3"/>
      <c r="E15" s="3"/>
      <c r="K15" s="3"/>
      <c r="L15" s="1152"/>
    </row>
  </sheetData>
  <mergeCells count="8">
    <mergeCell ref="A2:M2"/>
    <mergeCell ref="A6:A7"/>
    <mergeCell ref="C6:D6"/>
    <mergeCell ref="E6:G6"/>
    <mergeCell ref="H6:K6"/>
    <mergeCell ref="L6:L7"/>
    <mergeCell ref="M6:M7"/>
    <mergeCell ref="B6:B7"/>
  </mergeCells>
  <pageMargins left="0.70866141732283472" right="0.70866141732283472" top="0.78740157480314965" bottom="0.78740157480314965" header="0.31496062992125984" footer="0.31496062992125984"/>
  <pageSetup paperSize="9" scale="64"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ageSetUpPr fitToPage="1"/>
  </sheetPr>
  <dimension ref="A1:W25"/>
  <sheetViews>
    <sheetView workbookViewId="0"/>
  </sheetViews>
  <sheetFormatPr defaultRowHeight="12.75" x14ac:dyDescent="0.2"/>
  <cols>
    <col min="1" max="1" width="7.7109375" style="1" customWidth="1"/>
    <col min="2" max="2" width="6.7109375" style="1" customWidth="1"/>
    <col min="3" max="3" width="41.5703125" style="1" customWidth="1"/>
    <col min="4" max="4" width="14.7109375" style="2" customWidth="1"/>
    <col min="5" max="5" width="14.7109375" style="3" customWidth="1"/>
    <col min="6" max="6" width="14.7109375" style="2" customWidth="1"/>
    <col min="7" max="7" width="16.140625" style="3" customWidth="1"/>
    <col min="8" max="9" width="14.7109375" style="3" customWidth="1"/>
    <col min="10" max="10" width="15.42578125" style="3" customWidth="1"/>
    <col min="11" max="11" width="14.7109375" style="3" customWidth="1"/>
    <col min="12" max="12" width="14.7109375" style="787" customWidth="1"/>
    <col min="13" max="13" width="10.28515625" style="5" customWidth="1"/>
    <col min="14" max="14" width="9.7109375" style="5" customWidth="1"/>
    <col min="15" max="257" width="9.140625" style="1"/>
    <col min="258" max="258" width="6.7109375" style="1" customWidth="1"/>
    <col min="259" max="259" width="41.5703125" style="1" customWidth="1"/>
    <col min="260" max="267" width="14.7109375" style="1" customWidth="1"/>
    <col min="268" max="268" width="16.7109375" style="1" customWidth="1"/>
    <col min="269" max="269" width="10.85546875" style="1" customWidth="1"/>
    <col min="270" max="270" width="9.710937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5" width="10.85546875" style="1" customWidth="1"/>
    <col min="526" max="526" width="9.710937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1" width="10.85546875" style="1" customWidth="1"/>
    <col min="782" max="782" width="9.710937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7" width="10.85546875" style="1" customWidth="1"/>
    <col min="1038" max="1038" width="9.710937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3" width="10.85546875" style="1" customWidth="1"/>
    <col min="1294" max="1294" width="9.710937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49" width="10.85546875" style="1" customWidth="1"/>
    <col min="1550" max="1550" width="9.710937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5" width="10.85546875" style="1" customWidth="1"/>
    <col min="1806" max="1806" width="9.710937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1" width="10.85546875" style="1" customWidth="1"/>
    <col min="2062" max="2062" width="9.710937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7" width="10.85546875" style="1" customWidth="1"/>
    <col min="2318" max="2318" width="9.710937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3" width="10.85546875" style="1" customWidth="1"/>
    <col min="2574" max="2574" width="9.710937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29" width="10.85546875" style="1" customWidth="1"/>
    <col min="2830" max="2830" width="9.710937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5" width="10.85546875" style="1" customWidth="1"/>
    <col min="3086" max="3086" width="9.710937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1" width="10.85546875" style="1" customWidth="1"/>
    <col min="3342" max="3342" width="9.710937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7" width="10.85546875" style="1" customWidth="1"/>
    <col min="3598" max="3598" width="9.710937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3" width="10.85546875" style="1" customWidth="1"/>
    <col min="3854" max="3854" width="9.710937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09" width="10.85546875" style="1" customWidth="1"/>
    <col min="4110" max="4110" width="9.710937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5" width="10.85546875" style="1" customWidth="1"/>
    <col min="4366" max="4366" width="9.710937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1" width="10.85546875" style="1" customWidth="1"/>
    <col min="4622" max="4622" width="9.710937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7" width="10.85546875" style="1" customWidth="1"/>
    <col min="4878" max="4878" width="9.710937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3" width="10.85546875" style="1" customWidth="1"/>
    <col min="5134" max="5134" width="9.710937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89" width="10.85546875" style="1" customWidth="1"/>
    <col min="5390" max="5390" width="9.710937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5" width="10.85546875" style="1" customWidth="1"/>
    <col min="5646" max="5646" width="9.710937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1" width="10.85546875" style="1" customWidth="1"/>
    <col min="5902" max="5902" width="9.710937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7" width="10.85546875" style="1" customWidth="1"/>
    <col min="6158" max="6158" width="9.710937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3" width="10.85546875" style="1" customWidth="1"/>
    <col min="6414" max="6414" width="9.710937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69" width="10.85546875" style="1" customWidth="1"/>
    <col min="6670" max="6670" width="9.710937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5" width="10.85546875" style="1" customWidth="1"/>
    <col min="6926" max="6926" width="9.710937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1" width="10.85546875" style="1" customWidth="1"/>
    <col min="7182" max="7182" width="9.710937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7" width="10.85546875" style="1" customWidth="1"/>
    <col min="7438" max="7438" width="9.710937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3" width="10.85546875" style="1" customWidth="1"/>
    <col min="7694" max="7694" width="9.710937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49" width="10.85546875" style="1" customWidth="1"/>
    <col min="7950" max="7950" width="9.710937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5" width="10.85546875" style="1" customWidth="1"/>
    <col min="8206" max="8206" width="9.710937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1" width="10.85546875" style="1" customWidth="1"/>
    <col min="8462" max="8462" width="9.710937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7" width="10.85546875" style="1" customWidth="1"/>
    <col min="8718" max="8718" width="9.710937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3" width="10.85546875" style="1" customWidth="1"/>
    <col min="8974" max="8974" width="9.710937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29" width="10.85546875" style="1" customWidth="1"/>
    <col min="9230" max="9230" width="9.710937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5" width="10.85546875" style="1" customWidth="1"/>
    <col min="9486" max="9486" width="9.710937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1" width="10.85546875" style="1" customWidth="1"/>
    <col min="9742" max="9742" width="9.710937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7" width="10.85546875" style="1" customWidth="1"/>
    <col min="9998" max="9998" width="9.710937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3" width="10.85546875" style="1" customWidth="1"/>
    <col min="10254" max="10254" width="9.710937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09" width="10.85546875" style="1" customWidth="1"/>
    <col min="10510" max="10510" width="9.710937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5" width="10.85546875" style="1" customWidth="1"/>
    <col min="10766" max="10766" width="9.710937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1" width="10.85546875" style="1" customWidth="1"/>
    <col min="11022" max="11022" width="9.710937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7" width="10.85546875" style="1" customWidth="1"/>
    <col min="11278" max="11278" width="9.710937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3" width="10.85546875" style="1" customWidth="1"/>
    <col min="11534" max="11534" width="9.710937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89" width="10.85546875" style="1" customWidth="1"/>
    <col min="11790" max="11790" width="9.710937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5" width="10.85546875" style="1" customWidth="1"/>
    <col min="12046" max="12046" width="9.710937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1" width="10.85546875" style="1" customWidth="1"/>
    <col min="12302" max="12302" width="9.710937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7" width="10.85546875" style="1" customWidth="1"/>
    <col min="12558" max="12558" width="9.710937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3" width="10.85546875" style="1" customWidth="1"/>
    <col min="12814" max="12814" width="9.710937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69" width="10.85546875" style="1" customWidth="1"/>
    <col min="13070" max="13070" width="9.710937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5" width="10.85546875" style="1" customWidth="1"/>
    <col min="13326" max="13326" width="9.710937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1" width="10.85546875" style="1" customWidth="1"/>
    <col min="13582" max="13582" width="9.710937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7" width="10.85546875" style="1" customWidth="1"/>
    <col min="13838" max="13838" width="9.710937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3" width="10.85546875" style="1" customWidth="1"/>
    <col min="14094" max="14094" width="9.710937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49" width="10.85546875" style="1" customWidth="1"/>
    <col min="14350" max="14350" width="9.710937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5" width="10.85546875" style="1" customWidth="1"/>
    <col min="14606" max="14606" width="9.710937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1" width="10.85546875" style="1" customWidth="1"/>
    <col min="14862" max="14862" width="9.710937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7" width="10.85546875" style="1" customWidth="1"/>
    <col min="15118" max="15118" width="9.710937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3" width="10.85546875" style="1" customWidth="1"/>
    <col min="15374" max="15374" width="9.710937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29" width="10.85546875" style="1" customWidth="1"/>
    <col min="15630" max="15630" width="9.710937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5" width="10.85546875" style="1" customWidth="1"/>
    <col min="15886" max="15886" width="9.710937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1" width="10.85546875" style="1" customWidth="1"/>
    <col min="16142" max="16142" width="9.7109375" style="1" customWidth="1"/>
    <col min="16143" max="16384" width="9.140625" style="1"/>
  </cols>
  <sheetData>
    <row r="1" spans="1:23" ht="15" customHeight="1" x14ac:dyDescent="0.25">
      <c r="N1" s="6"/>
    </row>
    <row r="2" spans="1:23" ht="20.100000000000001" customHeight="1" x14ac:dyDescent="0.35">
      <c r="A2" s="1303" t="s">
        <v>508</v>
      </c>
      <c r="B2" s="1196"/>
      <c r="C2" s="1196"/>
      <c r="D2" s="1196"/>
      <c r="E2" s="1196"/>
      <c r="F2" s="1196"/>
      <c r="G2" s="1196"/>
      <c r="H2" s="1196"/>
      <c r="I2" s="1196"/>
      <c r="J2" s="1196"/>
      <c r="K2" s="1196"/>
      <c r="L2" s="1196"/>
      <c r="M2" s="1196"/>
      <c r="N2" s="1304"/>
    </row>
    <row r="3" spans="1:23" ht="15" customHeight="1" x14ac:dyDescent="0.2"/>
    <row r="4" spans="1:23" ht="20.100000000000001" customHeight="1" x14ac:dyDescent="0.3">
      <c r="A4" s="7" t="s">
        <v>195</v>
      </c>
      <c r="M4" s="8"/>
    </row>
    <row r="5" spans="1:23" ht="15" customHeight="1" thickBot="1" x14ac:dyDescent="0.35">
      <c r="A5" s="7"/>
      <c r="N5" s="8" t="s">
        <v>0</v>
      </c>
    </row>
    <row r="6" spans="1:23" s="62" customFormat="1" ht="15.95" customHeight="1" x14ac:dyDescent="0.15">
      <c r="A6" s="1305" t="s">
        <v>88</v>
      </c>
      <c r="B6" s="1314" t="s">
        <v>103</v>
      </c>
      <c r="C6" s="1315"/>
      <c r="D6" s="1198" t="s">
        <v>365</v>
      </c>
      <c r="E6" s="1199"/>
      <c r="F6" s="1198" t="s">
        <v>440</v>
      </c>
      <c r="G6" s="1202"/>
      <c r="H6" s="1199"/>
      <c r="I6" s="1307" t="s">
        <v>507</v>
      </c>
      <c r="J6" s="1308"/>
      <c r="K6" s="1308"/>
      <c r="L6" s="1309"/>
      <c r="M6" s="1310" t="s">
        <v>509</v>
      </c>
      <c r="N6" s="1312" t="s">
        <v>510</v>
      </c>
    </row>
    <row r="7" spans="1:23" s="62" customFormat="1" ht="27.75" customHeight="1" thickBot="1" x14ac:dyDescent="0.2">
      <c r="A7" s="1306"/>
      <c r="B7" s="1316"/>
      <c r="C7" s="1317"/>
      <c r="D7" s="177" t="s">
        <v>108</v>
      </c>
      <c r="E7" s="178" t="s">
        <v>126</v>
      </c>
      <c r="F7" s="264" t="s">
        <v>109</v>
      </c>
      <c r="G7" s="265" t="s">
        <v>589</v>
      </c>
      <c r="H7" s="266" t="s">
        <v>591</v>
      </c>
      <c r="I7" s="824" t="s">
        <v>124</v>
      </c>
      <c r="J7" s="825" t="s">
        <v>125</v>
      </c>
      <c r="K7" s="826" t="s">
        <v>314</v>
      </c>
      <c r="L7" s="821" t="s">
        <v>85</v>
      </c>
      <c r="M7" s="1311"/>
      <c r="N7" s="1313"/>
    </row>
    <row r="8" spans="1:23" s="9" customFormat="1" ht="20.100000000000001" customHeight="1" thickBot="1" x14ac:dyDescent="0.3">
      <c r="B8" s="10" t="s">
        <v>104</v>
      </c>
      <c r="C8" s="10"/>
      <c r="D8" s="11"/>
      <c r="E8" s="12"/>
      <c r="F8" s="11"/>
      <c r="G8" s="13"/>
      <c r="H8" s="13"/>
      <c r="I8" s="13"/>
      <c r="J8" s="13"/>
      <c r="K8" s="13"/>
      <c r="L8" s="268"/>
      <c r="M8" s="16"/>
      <c r="N8" s="16"/>
    </row>
    <row r="9" spans="1:23" s="509" customFormat="1" ht="20.100000000000001" customHeight="1" x14ac:dyDescent="0.2">
      <c r="A9" s="491">
        <v>2143</v>
      </c>
      <c r="B9" s="1301" t="s">
        <v>488</v>
      </c>
      <c r="C9" s="1359"/>
      <c r="D9" s="436">
        <v>0</v>
      </c>
      <c r="E9" s="437">
        <v>1000</v>
      </c>
      <c r="F9" s="497">
        <v>0</v>
      </c>
      <c r="G9" s="439">
        <v>0</v>
      </c>
      <c r="H9" s="554">
        <v>0</v>
      </c>
      <c r="I9" s="436">
        <v>0</v>
      </c>
      <c r="J9" s="520">
        <v>0</v>
      </c>
      <c r="K9" s="976">
        <v>0</v>
      </c>
      <c r="L9" s="961">
        <f>SUM(I9:K9)</f>
        <v>0</v>
      </c>
      <c r="M9" s="441" t="s">
        <v>60</v>
      </c>
      <c r="N9" s="442" t="s">
        <v>60</v>
      </c>
      <c r="O9" s="514"/>
      <c r="P9" s="514"/>
      <c r="Q9" s="514"/>
      <c r="R9" s="514"/>
      <c r="S9" s="514"/>
      <c r="T9" s="514"/>
      <c r="U9" s="514"/>
      <c r="V9" s="514"/>
      <c r="W9" s="514"/>
    </row>
    <row r="10" spans="1:23" s="509" customFormat="1" ht="30" customHeight="1" x14ac:dyDescent="0.2">
      <c r="A10" s="637">
        <v>3299</v>
      </c>
      <c r="B10" s="1365" t="s">
        <v>547</v>
      </c>
      <c r="C10" s="1425"/>
      <c r="D10" s="445">
        <v>1030</v>
      </c>
      <c r="E10" s="446">
        <v>731.81</v>
      </c>
      <c r="F10" s="567">
        <v>1130</v>
      </c>
      <c r="G10" s="449">
        <v>1533.51</v>
      </c>
      <c r="H10" s="657">
        <v>82.71</v>
      </c>
      <c r="I10" s="445">
        <v>659</v>
      </c>
      <c r="J10" s="447">
        <v>78</v>
      </c>
      <c r="K10" s="1006">
        <v>38</v>
      </c>
      <c r="L10" s="1020">
        <f>SUM(I10:K10)</f>
        <v>775</v>
      </c>
      <c r="M10" s="451">
        <f>L10/F10*100</f>
        <v>68.584070796460168</v>
      </c>
      <c r="N10" s="452">
        <f>L10/G10*100</f>
        <v>50.537655444046671</v>
      </c>
      <c r="O10" s="514"/>
      <c r="P10" s="514"/>
      <c r="Q10" s="514"/>
      <c r="R10" s="514"/>
      <c r="S10" s="514"/>
      <c r="T10" s="514"/>
      <c r="U10" s="514"/>
      <c r="V10" s="514"/>
      <c r="W10" s="514"/>
    </row>
    <row r="11" spans="1:23" s="511" customFormat="1" ht="31.5" customHeight="1" x14ac:dyDescent="0.2">
      <c r="A11" s="489">
        <v>3541</v>
      </c>
      <c r="B11" s="1293" t="s">
        <v>269</v>
      </c>
      <c r="C11" s="1349"/>
      <c r="D11" s="454">
        <v>620</v>
      </c>
      <c r="E11" s="455">
        <v>487.93</v>
      </c>
      <c r="F11" s="499">
        <v>620</v>
      </c>
      <c r="G11" s="457">
        <v>746.6</v>
      </c>
      <c r="H11" s="555">
        <v>277.94</v>
      </c>
      <c r="I11" s="454">
        <v>531</v>
      </c>
      <c r="J11" s="523">
        <v>63</v>
      </c>
      <c r="K11" s="977">
        <v>31</v>
      </c>
      <c r="L11" s="962">
        <f t="shared" ref="L11:L21" si="0">SUM(I11:K11)</f>
        <v>625</v>
      </c>
      <c r="M11" s="459">
        <f>L11/F11*100</f>
        <v>100.80645161290323</v>
      </c>
      <c r="N11" s="460">
        <f>L11/G11*100</f>
        <v>83.712831502812747</v>
      </c>
    </row>
    <row r="12" spans="1:23" s="511" customFormat="1" ht="29.25" customHeight="1" x14ac:dyDescent="0.2">
      <c r="A12" s="489">
        <v>4349</v>
      </c>
      <c r="B12" s="1293" t="s">
        <v>517</v>
      </c>
      <c r="C12" s="1349"/>
      <c r="D12" s="454">
        <v>350</v>
      </c>
      <c r="E12" s="455">
        <v>93.9</v>
      </c>
      <c r="F12" s="499">
        <v>250</v>
      </c>
      <c r="G12" s="457">
        <v>257.39999999999998</v>
      </c>
      <c r="H12" s="555">
        <v>0</v>
      </c>
      <c r="I12" s="454">
        <v>510</v>
      </c>
      <c r="J12" s="523">
        <v>60</v>
      </c>
      <c r="K12" s="977">
        <v>30</v>
      </c>
      <c r="L12" s="962">
        <f t="shared" si="0"/>
        <v>600</v>
      </c>
      <c r="M12" s="459">
        <f t="shared" ref="M12:M19" si="1">L12/F12*100</f>
        <v>240</v>
      </c>
      <c r="N12" s="460">
        <f t="shared" ref="N12:N19" si="2">L12/G12*100</f>
        <v>233.10023310023311</v>
      </c>
    </row>
    <row r="13" spans="1:23" s="511" customFormat="1" ht="20.100000000000001" customHeight="1" x14ac:dyDescent="0.2">
      <c r="A13" s="483">
        <v>5212</v>
      </c>
      <c r="B13" s="1293" t="s">
        <v>145</v>
      </c>
      <c r="C13" s="1349"/>
      <c r="D13" s="454">
        <v>1000</v>
      </c>
      <c r="E13" s="455">
        <v>240</v>
      </c>
      <c r="F13" s="499">
        <v>1000</v>
      </c>
      <c r="G13" s="457">
        <v>1000</v>
      </c>
      <c r="H13" s="555">
        <v>221.72</v>
      </c>
      <c r="I13" s="454">
        <v>1000</v>
      </c>
      <c r="J13" s="523">
        <v>0</v>
      </c>
      <c r="K13" s="977">
        <v>0</v>
      </c>
      <c r="L13" s="962">
        <f t="shared" si="0"/>
        <v>1000</v>
      </c>
      <c r="M13" s="459">
        <f t="shared" si="1"/>
        <v>100</v>
      </c>
      <c r="N13" s="460">
        <f t="shared" si="2"/>
        <v>100</v>
      </c>
    </row>
    <row r="14" spans="1:23" s="511" customFormat="1" ht="20.100000000000001" customHeight="1" x14ac:dyDescent="0.2">
      <c r="A14" s="483">
        <v>5213</v>
      </c>
      <c r="B14" s="1293" t="s">
        <v>146</v>
      </c>
      <c r="C14" s="1349"/>
      <c r="D14" s="454">
        <v>500</v>
      </c>
      <c r="E14" s="455">
        <v>0</v>
      </c>
      <c r="F14" s="499">
        <v>500</v>
      </c>
      <c r="G14" s="457">
        <v>500</v>
      </c>
      <c r="H14" s="555">
        <v>0</v>
      </c>
      <c r="I14" s="454">
        <v>500</v>
      </c>
      <c r="J14" s="523">
        <v>0</v>
      </c>
      <c r="K14" s="977">
        <v>0</v>
      </c>
      <c r="L14" s="962">
        <f t="shared" si="0"/>
        <v>500</v>
      </c>
      <c r="M14" s="459">
        <f t="shared" si="1"/>
        <v>100</v>
      </c>
      <c r="N14" s="460">
        <f t="shared" si="2"/>
        <v>100</v>
      </c>
    </row>
    <row r="15" spans="1:23" s="511" customFormat="1" ht="20.100000000000001" customHeight="1" x14ac:dyDescent="0.2">
      <c r="A15" s="483">
        <v>5273</v>
      </c>
      <c r="B15" s="1293" t="s">
        <v>229</v>
      </c>
      <c r="C15" s="1349"/>
      <c r="D15" s="477">
        <v>1809</v>
      </c>
      <c r="E15" s="500">
        <v>1187.78</v>
      </c>
      <c r="F15" s="501">
        <v>1809</v>
      </c>
      <c r="G15" s="479">
        <v>1809</v>
      </c>
      <c r="H15" s="556">
        <v>392.3</v>
      </c>
      <c r="I15" s="477">
        <v>1810</v>
      </c>
      <c r="J15" s="525">
        <v>0</v>
      </c>
      <c r="K15" s="1019">
        <v>0</v>
      </c>
      <c r="L15" s="962">
        <f t="shared" si="0"/>
        <v>1810</v>
      </c>
      <c r="M15" s="459">
        <f t="shared" si="1"/>
        <v>100.05527915975678</v>
      </c>
      <c r="N15" s="460">
        <f t="shared" si="2"/>
        <v>100.05527915975678</v>
      </c>
    </row>
    <row r="16" spans="1:23" s="511" customFormat="1" ht="20.100000000000001" customHeight="1" x14ac:dyDescent="0.2">
      <c r="A16" s="483">
        <v>5279</v>
      </c>
      <c r="B16" s="1293" t="s">
        <v>147</v>
      </c>
      <c r="C16" s="1349"/>
      <c r="D16" s="477">
        <v>890</v>
      </c>
      <c r="E16" s="500">
        <v>0</v>
      </c>
      <c r="F16" s="501">
        <v>890</v>
      </c>
      <c r="G16" s="479">
        <v>890</v>
      </c>
      <c r="H16" s="556">
        <v>0</v>
      </c>
      <c r="I16" s="477">
        <v>890</v>
      </c>
      <c r="J16" s="525">
        <v>0</v>
      </c>
      <c r="K16" s="1019">
        <v>0</v>
      </c>
      <c r="L16" s="1007">
        <f t="shared" si="0"/>
        <v>890</v>
      </c>
      <c r="M16" s="459">
        <f t="shared" si="1"/>
        <v>100</v>
      </c>
      <c r="N16" s="460">
        <f t="shared" si="2"/>
        <v>100</v>
      </c>
    </row>
    <row r="17" spans="1:15" s="511" customFormat="1" ht="31.5" customHeight="1" x14ac:dyDescent="0.2">
      <c r="A17" s="489">
        <v>5399</v>
      </c>
      <c r="B17" s="1293" t="s">
        <v>443</v>
      </c>
      <c r="C17" s="1349"/>
      <c r="D17" s="454">
        <v>0</v>
      </c>
      <c r="E17" s="455">
        <v>830</v>
      </c>
      <c r="F17" s="499">
        <v>0</v>
      </c>
      <c r="G17" s="457">
        <v>1370</v>
      </c>
      <c r="H17" s="555">
        <v>1370</v>
      </c>
      <c r="I17" s="454">
        <v>0</v>
      </c>
      <c r="J17" s="523">
        <v>0</v>
      </c>
      <c r="K17" s="977">
        <v>0</v>
      </c>
      <c r="L17" s="1007">
        <f t="shared" si="0"/>
        <v>0</v>
      </c>
      <c r="M17" s="459" t="s">
        <v>60</v>
      </c>
      <c r="N17" s="460">
        <f t="shared" ref="N17" si="3">L17/G17*100</f>
        <v>0</v>
      </c>
    </row>
    <row r="18" spans="1:15" s="511" customFormat="1" ht="20.100000000000001" customHeight="1" x14ac:dyDescent="0.2">
      <c r="A18" s="483">
        <v>5512</v>
      </c>
      <c r="B18" s="1293" t="s">
        <v>228</v>
      </c>
      <c r="C18" s="1349"/>
      <c r="D18" s="454">
        <v>500</v>
      </c>
      <c r="E18" s="455">
        <v>44.53</v>
      </c>
      <c r="F18" s="499">
        <v>500</v>
      </c>
      <c r="G18" s="457">
        <v>500</v>
      </c>
      <c r="H18" s="555">
        <v>3.39</v>
      </c>
      <c r="I18" s="454">
        <v>0</v>
      </c>
      <c r="J18" s="523">
        <v>0</v>
      </c>
      <c r="K18" s="977">
        <v>500</v>
      </c>
      <c r="L18" s="962">
        <f>SUM(I18:K18)</f>
        <v>500</v>
      </c>
      <c r="M18" s="459">
        <f t="shared" si="1"/>
        <v>100</v>
      </c>
      <c r="N18" s="460">
        <f t="shared" si="2"/>
        <v>100</v>
      </c>
    </row>
    <row r="19" spans="1:15" s="511" customFormat="1" ht="30" customHeight="1" x14ac:dyDescent="0.2">
      <c r="A19" s="1423">
        <v>6172</v>
      </c>
      <c r="B19" s="1365" t="s">
        <v>548</v>
      </c>
      <c r="C19" s="1425"/>
      <c r="D19" s="454">
        <v>11000</v>
      </c>
      <c r="E19" s="455">
        <v>9646</v>
      </c>
      <c r="F19" s="499">
        <v>11627</v>
      </c>
      <c r="G19" s="457">
        <v>13152.4</v>
      </c>
      <c r="H19" s="555">
        <v>7797.93</v>
      </c>
      <c r="I19" s="454">
        <v>14815</v>
      </c>
      <c r="J19" s="523">
        <v>0</v>
      </c>
      <c r="K19" s="977">
        <v>0</v>
      </c>
      <c r="L19" s="962">
        <f t="shared" si="0"/>
        <v>14815</v>
      </c>
      <c r="M19" s="459">
        <f t="shared" si="1"/>
        <v>127.41893867721683</v>
      </c>
      <c r="N19" s="460">
        <f t="shared" si="2"/>
        <v>112.64103889784374</v>
      </c>
    </row>
    <row r="20" spans="1:15" s="511" customFormat="1" ht="15" customHeight="1" x14ac:dyDescent="0.2">
      <c r="A20" s="1424"/>
      <c r="B20" s="429" t="s">
        <v>96</v>
      </c>
      <c r="C20" s="646" t="s">
        <v>148</v>
      </c>
      <c r="D20" s="74">
        <v>0</v>
      </c>
      <c r="E20" s="99">
        <v>156.46</v>
      </c>
      <c r="F20" s="340">
        <v>0</v>
      </c>
      <c r="G20" s="76">
        <v>0</v>
      </c>
      <c r="H20" s="84">
        <v>0</v>
      </c>
      <c r="I20" s="80">
        <v>0</v>
      </c>
      <c r="J20" s="1014">
        <v>0</v>
      </c>
      <c r="K20" s="1015">
        <v>0</v>
      </c>
      <c r="L20" s="1011">
        <f t="shared" si="0"/>
        <v>0</v>
      </c>
      <c r="M20" s="957" t="s">
        <v>60</v>
      </c>
      <c r="N20" s="79" t="s">
        <v>60</v>
      </c>
    </row>
    <row r="21" spans="1:15" s="511" customFormat="1" ht="20.100000000000001" customHeight="1" thickBot="1" x14ac:dyDescent="0.25">
      <c r="A21" s="483">
        <v>6221</v>
      </c>
      <c r="B21" s="1293" t="s">
        <v>265</v>
      </c>
      <c r="C21" s="1349"/>
      <c r="D21" s="481">
        <v>0</v>
      </c>
      <c r="E21" s="505">
        <v>254.83</v>
      </c>
      <c r="F21" s="499">
        <v>0</v>
      </c>
      <c r="G21" s="457">
        <v>0</v>
      </c>
      <c r="H21" s="555">
        <v>0</v>
      </c>
      <c r="I21" s="454">
        <v>0</v>
      </c>
      <c r="J21" s="523">
        <v>0</v>
      </c>
      <c r="K21" s="977">
        <v>0</v>
      </c>
      <c r="L21" s="962">
        <f t="shared" si="0"/>
        <v>0</v>
      </c>
      <c r="M21" s="459" t="s">
        <v>60</v>
      </c>
      <c r="N21" s="460" t="s">
        <v>60</v>
      </c>
    </row>
    <row r="22" spans="1:15" s="19" customFormat="1" ht="16.5" thickBot="1" x14ac:dyDescent="0.3">
      <c r="A22" s="204"/>
      <c r="B22" s="401" t="s">
        <v>85</v>
      </c>
      <c r="C22" s="402"/>
      <c r="D22" s="181">
        <f t="shared" ref="D22:L22" si="4">SUM(D9:D19)+D21</f>
        <v>17699</v>
      </c>
      <c r="E22" s="194">
        <f t="shared" si="4"/>
        <v>14516.78</v>
      </c>
      <c r="F22" s="181">
        <f t="shared" si="4"/>
        <v>18326</v>
      </c>
      <c r="G22" s="183">
        <f t="shared" si="4"/>
        <v>21758.91</v>
      </c>
      <c r="H22" s="182">
        <f t="shared" si="4"/>
        <v>10145.99</v>
      </c>
      <c r="I22" s="181">
        <f t="shared" si="4"/>
        <v>20715</v>
      </c>
      <c r="J22" s="956">
        <f t="shared" si="4"/>
        <v>201</v>
      </c>
      <c r="K22" s="191">
        <f t="shared" si="4"/>
        <v>599</v>
      </c>
      <c r="L22" s="981">
        <f t="shared" si="4"/>
        <v>21515</v>
      </c>
      <c r="M22" s="188">
        <f>L22/F22*100</f>
        <v>117.40150605696824</v>
      </c>
      <c r="N22" s="189">
        <f>L22/G22*100</f>
        <v>98.879033922195546</v>
      </c>
      <c r="O22" s="18"/>
    </row>
    <row r="23" spans="1:15" ht="15" x14ac:dyDescent="0.25">
      <c r="A23" s="20"/>
      <c r="B23" s="20"/>
      <c r="C23" s="20"/>
      <c r="D23" s="168"/>
      <c r="E23" s="167"/>
      <c r="F23" s="168"/>
      <c r="G23" s="170"/>
      <c r="H23" s="170"/>
      <c r="I23" s="170"/>
      <c r="J23" s="170"/>
      <c r="K23" s="170"/>
      <c r="L23" s="170"/>
      <c r="M23" s="24"/>
      <c r="N23" s="25"/>
      <c r="O23" s="17"/>
    </row>
    <row r="24" spans="1:15" s="65" customFormat="1" ht="15" x14ac:dyDescent="0.25">
      <c r="A24" s="20"/>
      <c r="B24" s="20"/>
      <c r="C24" s="20"/>
      <c r="D24" s="167"/>
      <c r="E24" s="167"/>
      <c r="F24" s="167"/>
      <c r="G24" s="167"/>
      <c r="H24" s="167"/>
      <c r="I24" s="167"/>
      <c r="J24" s="167"/>
      <c r="K24" s="167"/>
      <c r="L24" s="167"/>
      <c r="M24" s="24"/>
      <c r="N24" s="1176"/>
      <c r="O24" s="1177"/>
    </row>
    <row r="25" spans="1:15" s="65" customFormat="1" ht="15" x14ac:dyDescent="0.25">
      <c r="D25" s="167"/>
      <c r="E25" s="167"/>
      <c r="F25" s="167"/>
      <c r="G25" s="167"/>
      <c r="H25" s="167"/>
      <c r="I25" s="167"/>
      <c r="J25" s="167"/>
      <c r="K25" s="167"/>
      <c r="L25" s="167"/>
      <c r="M25" s="1178"/>
      <c r="N25" s="6"/>
    </row>
  </sheetData>
  <mergeCells count="21">
    <mergeCell ref="B9:C9"/>
    <mergeCell ref="B16:C16"/>
    <mergeCell ref="I6:L6"/>
    <mergeCell ref="B15:C15"/>
    <mergeCell ref="B14:C14"/>
    <mergeCell ref="B12:C12"/>
    <mergeCell ref="B11:C11"/>
    <mergeCell ref="B10:C10"/>
    <mergeCell ref="A2:N2"/>
    <mergeCell ref="A6:A7"/>
    <mergeCell ref="M6:M7"/>
    <mergeCell ref="N6:N7"/>
    <mergeCell ref="B6:C7"/>
    <mergeCell ref="D6:E6"/>
    <mergeCell ref="F6:H6"/>
    <mergeCell ref="B18:C18"/>
    <mergeCell ref="B21:C21"/>
    <mergeCell ref="B13:C13"/>
    <mergeCell ref="B17:C17"/>
    <mergeCell ref="A19:A20"/>
    <mergeCell ref="B19:C19"/>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S39"/>
  <sheetViews>
    <sheetView workbookViewId="0"/>
  </sheetViews>
  <sheetFormatPr defaultRowHeight="12.75" x14ac:dyDescent="0.2"/>
  <cols>
    <col min="1" max="1" width="8" style="1" customWidth="1"/>
    <col min="2" max="2" width="6.7109375" style="1" customWidth="1"/>
    <col min="3" max="3" width="41.5703125" style="1" customWidth="1"/>
    <col min="4" max="4" width="14.7109375" style="2" customWidth="1"/>
    <col min="5" max="5" width="14.7109375" style="3" customWidth="1"/>
    <col min="6" max="6" width="14.7109375" style="2" customWidth="1"/>
    <col min="7" max="7" width="16" style="3" customWidth="1"/>
    <col min="8" max="9" width="14.7109375" style="3" customWidth="1"/>
    <col min="10" max="10" width="15.42578125" style="3" customWidth="1"/>
    <col min="11" max="11" width="14.7109375" style="3" customWidth="1"/>
    <col min="12" max="12" width="14.7109375" style="787" customWidth="1"/>
    <col min="13" max="13" width="10" style="5" customWidth="1"/>
    <col min="14" max="14" width="9.7109375" style="5" customWidth="1"/>
    <col min="15" max="15" width="9.42578125" style="1" bestFit="1" customWidth="1"/>
    <col min="16" max="253" width="9.140625" style="1"/>
    <col min="254" max="254" width="6.7109375" style="1" customWidth="1"/>
    <col min="255" max="255" width="41.5703125" style="1" customWidth="1"/>
    <col min="256" max="263" width="14.7109375" style="1" customWidth="1"/>
    <col min="264" max="264" width="16.7109375" style="1" customWidth="1"/>
    <col min="265" max="265" width="10.85546875" style="1" customWidth="1"/>
    <col min="266" max="266" width="9.7109375" style="1" customWidth="1"/>
    <col min="267" max="509" width="9.140625" style="1"/>
    <col min="510" max="510" width="6.7109375" style="1" customWidth="1"/>
    <col min="511" max="511" width="41.5703125" style="1" customWidth="1"/>
    <col min="512" max="519" width="14.7109375" style="1" customWidth="1"/>
    <col min="520" max="520" width="16.7109375" style="1" customWidth="1"/>
    <col min="521" max="521" width="10.85546875" style="1" customWidth="1"/>
    <col min="522" max="522" width="9.7109375" style="1" customWidth="1"/>
    <col min="523" max="765" width="9.140625" style="1"/>
    <col min="766" max="766" width="6.7109375" style="1" customWidth="1"/>
    <col min="767" max="767" width="41.5703125" style="1" customWidth="1"/>
    <col min="768" max="775" width="14.7109375" style="1" customWidth="1"/>
    <col min="776" max="776" width="16.7109375" style="1" customWidth="1"/>
    <col min="777" max="777" width="10.85546875" style="1" customWidth="1"/>
    <col min="778" max="778" width="9.7109375" style="1" customWidth="1"/>
    <col min="779" max="1021" width="9.140625" style="1"/>
    <col min="1022" max="1022" width="6.7109375" style="1" customWidth="1"/>
    <col min="1023" max="1023" width="41.5703125" style="1" customWidth="1"/>
    <col min="1024" max="1031" width="14.7109375" style="1" customWidth="1"/>
    <col min="1032" max="1032" width="16.7109375" style="1" customWidth="1"/>
    <col min="1033" max="1033" width="10.85546875" style="1" customWidth="1"/>
    <col min="1034" max="1034" width="9.7109375" style="1" customWidth="1"/>
    <col min="1035" max="1277" width="9.140625" style="1"/>
    <col min="1278" max="1278" width="6.7109375" style="1" customWidth="1"/>
    <col min="1279" max="1279" width="41.5703125" style="1" customWidth="1"/>
    <col min="1280" max="1287" width="14.7109375" style="1" customWidth="1"/>
    <col min="1288" max="1288" width="16.7109375" style="1" customWidth="1"/>
    <col min="1289" max="1289" width="10.85546875" style="1" customWidth="1"/>
    <col min="1290" max="1290" width="9.7109375" style="1" customWidth="1"/>
    <col min="1291" max="1533" width="9.140625" style="1"/>
    <col min="1534" max="1534" width="6.7109375" style="1" customWidth="1"/>
    <col min="1535" max="1535" width="41.5703125" style="1" customWidth="1"/>
    <col min="1536" max="1543" width="14.7109375" style="1" customWidth="1"/>
    <col min="1544" max="1544" width="16.7109375" style="1" customWidth="1"/>
    <col min="1545" max="1545" width="10.85546875" style="1" customWidth="1"/>
    <col min="1546" max="1546" width="9.7109375" style="1" customWidth="1"/>
    <col min="1547" max="1789" width="9.140625" style="1"/>
    <col min="1790" max="1790" width="6.7109375" style="1" customWidth="1"/>
    <col min="1791" max="1791" width="41.5703125" style="1" customWidth="1"/>
    <col min="1792" max="1799" width="14.7109375" style="1" customWidth="1"/>
    <col min="1800" max="1800" width="16.7109375" style="1" customWidth="1"/>
    <col min="1801" max="1801" width="10.85546875" style="1" customWidth="1"/>
    <col min="1802" max="1802" width="9.7109375" style="1" customWidth="1"/>
    <col min="1803" max="2045" width="9.140625" style="1"/>
    <col min="2046" max="2046" width="6.7109375" style="1" customWidth="1"/>
    <col min="2047" max="2047" width="41.5703125" style="1" customWidth="1"/>
    <col min="2048" max="2055" width="14.7109375" style="1" customWidth="1"/>
    <col min="2056" max="2056" width="16.7109375" style="1" customWidth="1"/>
    <col min="2057" max="2057" width="10.85546875" style="1" customWidth="1"/>
    <col min="2058" max="2058" width="9.7109375" style="1" customWidth="1"/>
    <col min="2059" max="2301" width="9.140625" style="1"/>
    <col min="2302" max="2302" width="6.7109375" style="1" customWidth="1"/>
    <col min="2303" max="2303" width="41.5703125" style="1" customWidth="1"/>
    <col min="2304" max="2311" width="14.7109375" style="1" customWidth="1"/>
    <col min="2312" max="2312" width="16.7109375" style="1" customWidth="1"/>
    <col min="2313" max="2313" width="10.85546875" style="1" customWidth="1"/>
    <col min="2314" max="2314" width="9.7109375" style="1" customWidth="1"/>
    <col min="2315" max="2557" width="9.140625" style="1"/>
    <col min="2558" max="2558" width="6.7109375" style="1" customWidth="1"/>
    <col min="2559" max="2559" width="41.5703125" style="1" customWidth="1"/>
    <col min="2560" max="2567" width="14.7109375" style="1" customWidth="1"/>
    <col min="2568" max="2568" width="16.7109375" style="1" customWidth="1"/>
    <col min="2569" max="2569" width="10.85546875" style="1" customWidth="1"/>
    <col min="2570" max="2570" width="9.7109375" style="1" customWidth="1"/>
    <col min="2571" max="2813" width="9.140625" style="1"/>
    <col min="2814" max="2814" width="6.7109375" style="1" customWidth="1"/>
    <col min="2815" max="2815" width="41.5703125" style="1" customWidth="1"/>
    <col min="2816" max="2823" width="14.7109375" style="1" customWidth="1"/>
    <col min="2824" max="2824" width="16.7109375" style="1" customWidth="1"/>
    <col min="2825" max="2825" width="10.85546875" style="1" customWidth="1"/>
    <col min="2826" max="2826" width="9.7109375" style="1" customWidth="1"/>
    <col min="2827" max="3069" width="9.140625" style="1"/>
    <col min="3070" max="3070" width="6.7109375" style="1" customWidth="1"/>
    <col min="3071" max="3071" width="41.5703125" style="1" customWidth="1"/>
    <col min="3072" max="3079" width="14.7109375" style="1" customWidth="1"/>
    <col min="3080" max="3080" width="16.7109375" style="1" customWidth="1"/>
    <col min="3081" max="3081" width="10.85546875" style="1" customWidth="1"/>
    <col min="3082" max="3082" width="9.7109375" style="1" customWidth="1"/>
    <col min="3083" max="3325" width="9.140625" style="1"/>
    <col min="3326" max="3326" width="6.7109375" style="1" customWidth="1"/>
    <col min="3327" max="3327" width="41.5703125" style="1" customWidth="1"/>
    <col min="3328" max="3335" width="14.7109375" style="1" customWidth="1"/>
    <col min="3336" max="3336" width="16.7109375" style="1" customWidth="1"/>
    <col min="3337" max="3337" width="10.85546875" style="1" customWidth="1"/>
    <col min="3338" max="3338" width="9.7109375" style="1" customWidth="1"/>
    <col min="3339" max="3581" width="9.140625" style="1"/>
    <col min="3582" max="3582" width="6.7109375" style="1" customWidth="1"/>
    <col min="3583" max="3583" width="41.5703125" style="1" customWidth="1"/>
    <col min="3584" max="3591" width="14.7109375" style="1" customWidth="1"/>
    <col min="3592" max="3592" width="16.7109375" style="1" customWidth="1"/>
    <col min="3593" max="3593" width="10.85546875" style="1" customWidth="1"/>
    <col min="3594" max="3594" width="9.7109375" style="1" customWidth="1"/>
    <col min="3595" max="3837" width="9.140625" style="1"/>
    <col min="3838" max="3838" width="6.7109375" style="1" customWidth="1"/>
    <col min="3839" max="3839" width="41.5703125" style="1" customWidth="1"/>
    <col min="3840" max="3847" width="14.7109375" style="1" customWidth="1"/>
    <col min="3848" max="3848" width="16.7109375" style="1" customWidth="1"/>
    <col min="3849" max="3849" width="10.85546875" style="1" customWidth="1"/>
    <col min="3850" max="3850" width="9.7109375" style="1" customWidth="1"/>
    <col min="3851" max="4093" width="9.140625" style="1"/>
    <col min="4094" max="4094" width="6.7109375" style="1" customWidth="1"/>
    <col min="4095" max="4095" width="41.5703125" style="1" customWidth="1"/>
    <col min="4096" max="4103" width="14.7109375" style="1" customWidth="1"/>
    <col min="4104" max="4104" width="16.7109375" style="1" customWidth="1"/>
    <col min="4105" max="4105" width="10.85546875" style="1" customWidth="1"/>
    <col min="4106" max="4106" width="9.7109375" style="1" customWidth="1"/>
    <col min="4107" max="4349" width="9.140625" style="1"/>
    <col min="4350" max="4350" width="6.7109375" style="1" customWidth="1"/>
    <col min="4351" max="4351" width="41.5703125" style="1" customWidth="1"/>
    <col min="4352" max="4359" width="14.7109375" style="1" customWidth="1"/>
    <col min="4360" max="4360" width="16.7109375" style="1" customWidth="1"/>
    <col min="4361" max="4361" width="10.85546875" style="1" customWidth="1"/>
    <col min="4362" max="4362" width="9.7109375" style="1" customWidth="1"/>
    <col min="4363" max="4605" width="9.140625" style="1"/>
    <col min="4606" max="4606" width="6.7109375" style="1" customWidth="1"/>
    <col min="4607" max="4607" width="41.5703125" style="1" customWidth="1"/>
    <col min="4608" max="4615" width="14.7109375" style="1" customWidth="1"/>
    <col min="4616" max="4616" width="16.7109375" style="1" customWidth="1"/>
    <col min="4617" max="4617" width="10.85546875" style="1" customWidth="1"/>
    <col min="4618" max="4618" width="9.7109375" style="1" customWidth="1"/>
    <col min="4619" max="4861" width="9.140625" style="1"/>
    <col min="4862" max="4862" width="6.7109375" style="1" customWidth="1"/>
    <col min="4863" max="4863" width="41.5703125" style="1" customWidth="1"/>
    <col min="4864" max="4871" width="14.7109375" style="1" customWidth="1"/>
    <col min="4872" max="4872" width="16.7109375" style="1" customWidth="1"/>
    <col min="4873" max="4873" width="10.85546875" style="1" customWidth="1"/>
    <col min="4874" max="4874" width="9.7109375" style="1" customWidth="1"/>
    <col min="4875" max="5117" width="9.140625" style="1"/>
    <col min="5118" max="5118" width="6.7109375" style="1" customWidth="1"/>
    <col min="5119" max="5119" width="41.5703125" style="1" customWidth="1"/>
    <col min="5120" max="5127" width="14.7109375" style="1" customWidth="1"/>
    <col min="5128" max="5128" width="16.7109375" style="1" customWidth="1"/>
    <col min="5129" max="5129" width="10.85546875" style="1" customWidth="1"/>
    <col min="5130" max="5130" width="9.7109375" style="1" customWidth="1"/>
    <col min="5131" max="5373" width="9.140625" style="1"/>
    <col min="5374" max="5374" width="6.7109375" style="1" customWidth="1"/>
    <col min="5375" max="5375" width="41.5703125" style="1" customWidth="1"/>
    <col min="5376" max="5383" width="14.7109375" style="1" customWidth="1"/>
    <col min="5384" max="5384" width="16.7109375" style="1" customWidth="1"/>
    <col min="5385" max="5385" width="10.85546875" style="1" customWidth="1"/>
    <col min="5386" max="5386" width="9.7109375" style="1" customWidth="1"/>
    <col min="5387" max="5629" width="9.140625" style="1"/>
    <col min="5630" max="5630" width="6.7109375" style="1" customWidth="1"/>
    <col min="5631" max="5631" width="41.5703125" style="1" customWidth="1"/>
    <col min="5632" max="5639" width="14.7109375" style="1" customWidth="1"/>
    <col min="5640" max="5640" width="16.7109375" style="1" customWidth="1"/>
    <col min="5641" max="5641" width="10.85546875" style="1" customWidth="1"/>
    <col min="5642" max="5642" width="9.7109375" style="1" customWidth="1"/>
    <col min="5643" max="5885" width="9.140625" style="1"/>
    <col min="5886" max="5886" width="6.7109375" style="1" customWidth="1"/>
    <col min="5887" max="5887" width="41.5703125" style="1" customWidth="1"/>
    <col min="5888" max="5895" width="14.7109375" style="1" customWidth="1"/>
    <col min="5896" max="5896" width="16.7109375" style="1" customWidth="1"/>
    <col min="5897" max="5897" width="10.85546875" style="1" customWidth="1"/>
    <col min="5898" max="5898" width="9.7109375" style="1" customWidth="1"/>
    <col min="5899" max="6141" width="9.140625" style="1"/>
    <col min="6142" max="6142" width="6.7109375" style="1" customWidth="1"/>
    <col min="6143" max="6143" width="41.5703125" style="1" customWidth="1"/>
    <col min="6144" max="6151" width="14.7109375" style="1" customWidth="1"/>
    <col min="6152" max="6152" width="16.7109375" style="1" customWidth="1"/>
    <col min="6153" max="6153" width="10.85546875" style="1" customWidth="1"/>
    <col min="6154" max="6154" width="9.7109375" style="1" customWidth="1"/>
    <col min="6155" max="6397" width="9.140625" style="1"/>
    <col min="6398" max="6398" width="6.7109375" style="1" customWidth="1"/>
    <col min="6399" max="6399" width="41.5703125" style="1" customWidth="1"/>
    <col min="6400" max="6407" width="14.7109375" style="1" customWidth="1"/>
    <col min="6408" max="6408" width="16.7109375" style="1" customWidth="1"/>
    <col min="6409" max="6409" width="10.85546875" style="1" customWidth="1"/>
    <col min="6410" max="6410" width="9.7109375" style="1" customWidth="1"/>
    <col min="6411" max="6653" width="9.140625" style="1"/>
    <col min="6654" max="6654" width="6.7109375" style="1" customWidth="1"/>
    <col min="6655" max="6655" width="41.5703125" style="1" customWidth="1"/>
    <col min="6656" max="6663" width="14.7109375" style="1" customWidth="1"/>
    <col min="6664" max="6664" width="16.7109375" style="1" customWidth="1"/>
    <col min="6665" max="6665" width="10.85546875" style="1" customWidth="1"/>
    <col min="6666" max="6666" width="9.7109375" style="1" customWidth="1"/>
    <col min="6667" max="6909" width="9.140625" style="1"/>
    <col min="6910" max="6910" width="6.7109375" style="1" customWidth="1"/>
    <col min="6911" max="6911" width="41.5703125" style="1" customWidth="1"/>
    <col min="6912" max="6919" width="14.7109375" style="1" customWidth="1"/>
    <col min="6920" max="6920" width="16.7109375" style="1" customWidth="1"/>
    <col min="6921" max="6921" width="10.85546875" style="1" customWidth="1"/>
    <col min="6922" max="6922" width="9.7109375" style="1" customWidth="1"/>
    <col min="6923" max="7165" width="9.140625" style="1"/>
    <col min="7166" max="7166" width="6.7109375" style="1" customWidth="1"/>
    <col min="7167" max="7167" width="41.5703125" style="1" customWidth="1"/>
    <col min="7168" max="7175" width="14.7109375" style="1" customWidth="1"/>
    <col min="7176" max="7176" width="16.7109375" style="1" customWidth="1"/>
    <col min="7177" max="7177" width="10.85546875" style="1" customWidth="1"/>
    <col min="7178" max="7178" width="9.7109375" style="1" customWidth="1"/>
    <col min="7179" max="7421" width="9.140625" style="1"/>
    <col min="7422" max="7422" width="6.7109375" style="1" customWidth="1"/>
    <col min="7423" max="7423" width="41.5703125" style="1" customWidth="1"/>
    <col min="7424" max="7431" width="14.7109375" style="1" customWidth="1"/>
    <col min="7432" max="7432" width="16.7109375" style="1" customWidth="1"/>
    <col min="7433" max="7433" width="10.85546875" style="1" customWidth="1"/>
    <col min="7434" max="7434" width="9.7109375" style="1" customWidth="1"/>
    <col min="7435" max="7677" width="9.140625" style="1"/>
    <col min="7678" max="7678" width="6.7109375" style="1" customWidth="1"/>
    <col min="7679" max="7679" width="41.5703125" style="1" customWidth="1"/>
    <col min="7680" max="7687" width="14.7109375" style="1" customWidth="1"/>
    <col min="7688" max="7688" width="16.7109375" style="1" customWidth="1"/>
    <col min="7689" max="7689" width="10.85546875" style="1" customWidth="1"/>
    <col min="7690" max="7690" width="9.7109375" style="1" customWidth="1"/>
    <col min="7691" max="7933" width="9.140625" style="1"/>
    <col min="7934" max="7934" width="6.7109375" style="1" customWidth="1"/>
    <col min="7935" max="7935" width="41.5703125" style="1" customWidth="1"/>
    <col min="7936" max="7943" width="14.7109375" style="1" customWidth="1"/>
    <col min="7944" max="7944" width="16.7109375" style="1" customWidth="1"/>
    <col min="7945" max="7945" width="10.85546875" style="1" customWidth="1"/>
    <col min="7946" max="7946" width="9.7109375" style="1" customWidth="1"/>
    <col min="7947" max="8189" width="9.140625" style="1"/>
    <col min="8190" max="8190" width="6.7109375" style="1" customWidth="1"/>
    <col min="8191" max="8191" width="41.5703125" style="1" customWidth="1"/>
    <col min="8192" max="8199" width="14.7109375" style="1" customWidth="1"/>
    <col min="8200" max="8200" width="16.7109375" style="1" customWidth="1"/>
    <col min="8201" max="8201" width="10.85546875" style="1" customWidth="1"/>
    <col min="8202" max="8202" width="9.7109375" style="1" customWidth="1"/>
    <col min="8203" max="8445" width="9.140625" style="1"/>
    <col min="8446" max="8446" width="6.7109375" style="1" customWidth="1"/>
    <col min="8447" max="8447" width="41.5703125" style="1" customWidth="1"/>
    <col min="8448" max="8455" width="14.7109375" style="1" customWidth="1"/>
    <col min="8456" max="8456" width="16.7109375" style="1" customWidth="1"/>
    <col min="8457" max="8457" width="10.85546875" style="1" customWidth="1"/>
    <col min="8458" max="8458" width="9.7109375" style="1" customWidth="1"/>
    <col min="8459" max="8701" width="9.140625" style="1"/>
    <col min="8702" max="8702" width="6.7109375" style="1" customWidth="1"/>
    <col min="8703" max="8703" width="41.5703125" style="1" customWidth="1"/>
    <col min="8704" max="8711" width="14.7109375" style="1" customWidth="1"/>
    <col min="8712" max="8712" width="16.7109375" style="1" customWidth="1"/>
    <col min="8713" max="8713" width="10.85546875" style="1" customWidth="1"/>
    <col min="8714" max="8714" width="9.7109375" style="1" customWidth="1"/>
    <col min="8715" max="8957" width="9.140625" style="1"/>
    <col min="8958" max="8958" width="6.7109375" style="1" customWidth="1"/>
    <col min="8959" max="8959" width="41.5703125" style="1" customWidth="1"/>
    <col min="8960" max="8967" width="14.7109375" style="1" customWidth="1"/>
    <col min="8968" max="8968" width="16.7109375" style="1" customWidth="1"/>
    <col min="8969" max="8969" width="10.85546875" style="1" customWidth="1"/>
    <col min="8970" max="8970" width="9.7109375" style="1" customWidth="1"/>
    <col min="8971" max="9213" width="9.140625" style="1"/>
    <col min="9214" max="9214" width="6.7109375" style="1" customWidth="1"/>
    <col min="9215" max="9215" width="41.5703125" style="1" customWidth="1"/>
    <col min="9216" max="9223" width="14.7109375" style="1" customWidth="1"/>
    <col min="9224" max="9224" width="16.7109375" style="1" customWidth="1"/>
    <col min="9225" max="9225" width="10.85546875" style="1" customWidth="1"/>
    <col min="9226" max="9226" width="9.7109375" style="1" customWidth="1"/>
    <col min="9227" max="9469" width="9.140625" style="1"/>
    <col min="9470" max="9470" width="6.7109375" style="1" customWidth="1"/>
    <col min="9471" max="9471" width="41.5703125" style="1" customWidth="1"/>
    <col min="9472" max="9479" width="14.7109375" style="1" customWidth="1"/>
    <col min="9480" max="9480" width="16.7109375" style="1" customWidth="1"/>
    <col min="9481" max="9481" width="10.85546875" style="1" customWidth="1"/>
    <col min="9482" max="9482" width="9.7109375" style="1" customWidth="1"/>
    <col min="9483" max="9725" width="9.140625" style="1"/>
    <col min="9726" max="9726" width="6.7109375" style="1" customWidth="1"/>
    <col min="9727" max="9727" width="41.5703125" style="1" customWidth="1"/>
    <col min="9728" max="9735" width="14.7109375" style="1" customWidth="1"/>
    <col min="9736" max="9736" width="16.7109375" style="1" customWidth="1"/>
    <col min="9737" max="9737" width="10.85546875" style="1" customWidth="1"/>
    <col min="9738" max="9738" width="9.7109375" style="1" customWidth="1"/>
    <col min="9739" max="9981" width="9.140625" style="1"/>
    <col min="9982" max="9982" width="6.7109375" style="1" customWidth="1"/>
    <col min="9983" max="9983" width="41.5703125" style="1" customWidth="1"/>
    <col min="9984" max="9991" width="14.7109375" style="1" customWidth="1"/>
    <col min="9992" max="9992" width="16.7109375" style="1" customWidth="1"/>
    <col min="9993" max="9993" width="10.85546875" style="1" customWidth="1"/>
    <col min="9994" max="9994" width="9.7109375" style="1" customWidth="1"/>
    <col min="9995" max="10237" width="9.140625" style="1"/>
    <col min="10238" max="10238" width="6.7109375" style="1" customWidth="1"/>
    <col min="10239" max="10239" width="41.5703125" style="1" customWidth="1"/>
    <col min="10240" max="10247" width="14.7109375" style="1" customWidth="1"/>
    <col min="10248" max="10248" width="16.7109375" style="1" customWidth="1"/>
    <col min="10249" max="10249" width="10.85546875" style="1" customWidth="1"/>
    <col min="10250" max="10250" width="9.7109375" style="1" customWidth="1"/>
    <col min="10251" max="10493" width="9.140625" style="1"/>
    <col min="10494" max="10494" width="6.7109375" style="1" customWidth="1"/>
    <col min="10495" max="10495" width="41.5703125" style="1" customWidth="1"/>
    <col min="10496" max="10503" width="14.7109375" style="1" customWidth="1"/>
    <col min="10504" max="10504" width="16.7109375" style="1" customWidth="1"/>
    <col min="10505" max="10505" width="10.85546875" style="1" customWidth="1"/>
    <col min="10506" max="10506" width="9.7109375" style="1" customWidth="1"/>
    <col min="10507" max="10749" width="9.140625" style="1"/>
    <col min="10750" max="10750" width="6.7109375" style="1" customWidth="1"/>
    <col min="10751" max="10751" width="41.5703125" style="1" customWidth="1"/>
    <col min="10752" max="10759" width="14.7109375" style="1" customWidth="1"/>
    <col min="10760" max="10760" width="16.7109375" style="1" customWidth="1"/>
    <col min="10761" max="10761" width="10.85546875" style="1" customWidth="1"/>
    <col min="10762" max="10762" width="9.7109375" style="1" customWidth="1"/>
    <col min="10763" max="11005" width="9.140625" style="1"/>
    <col min="11006" max="11006" width="6.7109375" style="1" customWidth="1"/>
    <col min="11007" max="11007" width="41.5703125" style="1" customWidth="1"/>
    <col min="11008" max="11015" width="14.7109375" style="1" customWidth="1"/>
    <col min="11016" max="11016" width="16.7109375" style="1" customWidth="1"/>
    <col min="11017" max="11017" width="10.85546875" style="1" customWidth="1"/>
    <col min="11018" max="11018" width="9.7109375" style="1" customWidth="1"/>
    <col min="11019" max="11261" width="9.140625" style="1"/>
    <col min="11262" max="11262" width="6.7109375" style="1" customWidth="1"/>
    <col min="11263" max="11263" width="41.5703125" style="1" customWidth="1"/>
    <col min="11264" max="11271" width="14.7109375" style="1" customWidth="1"/>
    <col min="11272" max="11272" width="16.7109375" style="1" customWidth="1"/>
    <col min="11273" max="11273" width="10.85546875" style="1" customWidth="1"/>
    <col min="11274" max="11274" width="9.7109375" style="1" customWidth="1"/>
    <col min="11275" max="11517" width="9.140625" style="1"/>
    <col min="11518" max="11518" width="6.7109375" style="1" customWidth="1"/>
    <col min="11519" max="11519" width="41.5703125" style="1" customWidth="1"/>
    <col min="11520" max="11527" width="14.7109375" style="1" customWidth="1"/>
    <col min="11528" max="11528" width="16.7109375" style="1" customWidth="1"/>
    <col min="11529" max="11529" width="10.85546875" style="1" customWidth="1"/>
    <col min="11530" max="11530" width="9.7109375" style="1" customWidth="1"/>
    <col min="11531" max="11773" width="9.140625" style="1"/>
    <col min="11774" max="11774" width="6.7109375" style="1" customWidth="1"/>
    <col min="11775" max="11775" width="41.5703125" style="1" customWidth="1"/>
    <col min="11776" max="11783" width="14.7109375" style="1" customWidth="1"/>
    <col min="11784" max="11784" width="16.7109375" style="1" customWidth="1"/>
    <col min="11785" max="11785" width="10.85546875" style="1" customWidth="1"/>
    <col min="11786" max="11786" width="9.7109375" style="1" customWidth="1"/>
    <col min="11787" max="12029" width="9.140625" style="1"/>
    <col min="12030" max="12030" width="6.7109375" style="1" customWidth="1"/>
    <col min="12031" max="12031" width="41.5703125" style="1" customWidth="1"/>
    <col min="12032" max="12039" width="14.7109375" style="1" customWidth="1"/>
    <col min="12040" max="12040" width="16.7109375" style="1" customWidth="1"/>
    <col min="12041" max="12041" width="10.85546875" style="1" customWidth="1"/>
    <col min="12042" max="12042" width="9.7109375" style="1" customWidth="1"/>
    <col min="12043" max="12285" width="9.140625" style="1"/>
    <col min="12286" max="12286" width="6.7109375" style="1" customWidth="1"/>
    <col min="12287" max="12287" width="41.5703125" style="1" customWidth="1"/>
    <col min="12288" max="12295" width="14.7109375" style="1" customWidth="1"/>
    <col min="12296" max="12296" width="16.7109375" style="1" customWidth="1"/>
    <col min="12297" max="12297" width="10.85546875" style="1" customWidth="1"/>
    <col min="12298" max="12298" width="9.7109375" style="1" customWidth="1"/>
    <col min="12299" max="12541" width="9.140625" style="1"/>
    <col min="12542" max="12542" width="6.7109375" style="1" customWidth="1"/>
    <col min="12543" max="12543" width="41.5703125" style="1" customWidth="1"/>
    <col min="12544" max="12551" width="14.7109375" style="1" customWidth="1"/>
    <col min="12552" max="12552" width="16.7109375" style="1" customWidth="1"/>
    <col min="12553" max="12553" width="10.85546875" style="1" customWidth="1"/>
    <col min="12554" max="12554" width="9.7109375" style="1" customWidth="1"/>
    <col min="12555" max="12797" width="9.140625" style="1"/>
    <col min="12798" max="12798" width="6.7109375" style="1" customWidth="1"/>
    <col min="12799" max="12799" width="41.5703125" style="1" customWidth="1"/>
    <col min="12800" max="12807" width="14.7109375" style="1" customWidth="1"/>
    <col min="12808" max="12808" width="16.7109375" style="1" customWidth="1"/>
    <col min="12809" max="12809" width="10.85546875" style="1" customWidth="1"/>
    <col min="12810" max="12810" width="9.7109375" style="1" customWidth="1"/>
    <col min="12811" max="13053" width="9.140625" style="1"/>
    <col min="13054" max="13054" width="6.7109375" style="1" customWidth="1"/>
    <col min="13055" max="13055" width="41.5703125" style="1" customWidth="1"/>
    <col min="13056" max="13063" width="14.7109375" style="1" customWidth="1"/>
    <col min="13064" max="13064" width="16.7109375" style="1" customWidth="1"/>
    <col min="13065" max="13065" width="10.85546875" style="1" customWidth="1"/>
    <col min="13066" max="13066" width="9.7109375" style="1" customWidth="1"/>
    <col min="13067" max="13309" width="9.140625" style="1"/>
    <col min="13310" max="13310" width="6.7109375" style="1" customWidth="1"/>
    <col min="13311" max="13311" width="41.5703125" style="1" customWidth="1"/>
    <col min="13312" max="13319" width="14.7109375" style="1" customWidth="1"/>
    <col min="13320" max="13320" width="16.7109375" style="1" customWidth="1"/>
    <col min="13321" max="13321" width="10.85546875" style="1" customWidth="1"/>
    <col min="13322" max="13322" width="9.7109375" style="1" customWidth="1"/>
    <col min="13323" max="13565" width="9.140625" style="1"/>
    <col min="13566" max="13566" width="6.7109375" style="1" customWidth="1"/>
    <col min="13567" max="13567" width="41.5703125" style="1" customWidth="1"/>
    <col min="13568" max="13575" width="14.7109375" style="1" customWidth="1"/>
    <col min="13576" max="13576" width="16.7109375" style="1" customWidth="1"/>
    <col min="13577" max="13577" width="10.85546875" style="1" customWidth="1"/>
    <col min="13578" max="13578" width="9.7109375" style="1" customWidth="1"/>
    <col min="13579" max="13821" width="9.140625" style="1"/>
    <col min="13822" max="13822" width="6.7109375" style="1" customWidth="1"/>
    <col min="13823" max="13823" width="41.5703125" style="1" customWidth="1"/>
    <col min="13824" max="13831" width="14.7109375" style="1" customWidth="1"/>
    <col min="13832" max="13832" width="16.7109375" style="1" customWidth="1"/>
    <col min="13833" max="13833" width="10.85546875" style="1" customWidth="1"/>
    <col min="13834" max="13834" width="9.7109375" style="1" customWidth="1"/>
    <col min="13835" max="14077" width="9.140625" style="1"/>
    <col min="14078" max="14078" width="6.7109375" style="1" customWidth="1"/>
    <col min="14079" max="14079" width="41.5703125" style="1" customWidth="1"/>
    <col min="14080" max="14087" width="14.7109375" style="1" customWidth="1"/>
    <col min="14088" max="14088" width="16.7109375" style="1" customWidth="1"/>
    <col min="14089" max="14089" width="10.85546875" style="1" customWidth="1"/>
    <col min="14090" max="14090" width="9.7109375" style="1" customWidth="1"/>
    <col min="14091" max="14333" width="9.140625" style="1"/>
    <col min="14334" max="14334" width="6.7109375" style="1" customWidth="1"/>
    <col min="14335" max="14335" width="41.5703125" style="1" customWidth="1"/>
    <col min="14336" max="14343" width="14.7109375" style="1" customWidth="1"/>
    <col min="14344" max="14344" width="16.7109375" style="1" customWidth="1"/>
    <col min="14345" max="14345" width="10.85546875" style="1" customWidth="1"/>
    <col min="14346" max="14346" width="9.7109375" style="1" customWidth="1"/>
    <col min="14347" max="14589" width="9.140625" style="1"/>
    <col min="14590" max="14590" width="6.7109375" style="1" customWidth="1"/>
    <col min="14591" max="14591" width="41.5703125" style="1" customWidth="1"/>
    <col min="14592" max="14599" width="14.7109375" style="1" customWidth="1"/>
    <col min="14600" max="14600" width="16.7109375" style="1" customWidth="1"/>
    <col min="14601" max="14601" width="10.85546875" style="1" customWidth="1"/>
    <col min="14602" max="14602" width="9.7109375" style="1" customWidth="1"/>
    <col min="14603" max="14845" width="9.140625" style="1"/>
    <col min="14846" max="14846" width="6.7109375" style="1" customWidth="1"/>
    <col min="14847" max="14847" width="41.5703125" style="1" customWidth="1"/>
    <col min="14848" max="14855" width="14.7109375" style="1" customWidth="1"/>
    <col min="14856" max="14856" width="16.7109375" style="1" customWidth="1"/>
    <col min="14857" max="14857" width="10.85546875" style="1" customWidth="1"/>
    <col min="14858" max="14858" width="9.7109375" style="1" customWidth="1"/>
    <col min="14859" max="15101" width="9.140625" style="1"/>
    <col min="15102" max="15102" width="6.7109375" style="1" customWidth="1"/>
    <col min="15103" max="15103" width="41.5703125" style="1" customWidth="1"/>
    <col min="15104" max="15111" width="14.7109375" style="1" customWidth="1"/>
    <col min="15112" max="15112" width="16.7109375" style="1" customWidth="1"/>
    <col min="15113" max="15113" width="10.85546875" style="1" customWidth="1"/>
    <col min="15114" max="15114" width="9.7109375" style="1" customWidth="1"/>
    <col min="15115" max="15357" width="9.140625" style="1"/>
    <col min="15358" max="15358" width="6.7109375" style="1" customWidth="1"/>
    <col min="15359" max="15359" width="41.5703125" style="1" customWidth="1"/>
    <col min="15360" max="15367" width="14.7109375" style="1" customWidth="1"/>
    <col min="15368" max="15368" width="16.7109375" style="1" customWidth="1"/>
    <col min="15369" max="15369" width="10.85546875" style="1" customWidth="1"/>
    <col min="15370" max="15370" width="9.7109375" style="1" customWidth="1"/>
    <col min="15371" max="15613" width="9.140625" style="1"/>
    <col min="15614" max="15614" width="6.7109375" style="1" customWidth="1"/>
    <col min="15615" max="15615" width="41.5703125" style="1" customWidth="1"/>
    <col min="15616" max="15623" width="14.7109375" style="1" customWidth="1"/>
    <col min="15624" max="15624" width="16.7109375" style="1" customWidth="1"/>
    <col min="15625" max="15625" width="10.85546875" style="1" customWidth="1"/>
    <col min="15626" max="15626" width="9.7109375" style="1" customWidth="1"/>
    <col min="15627" max="15869" width="9.140625" style="1"/>
    <col min="15870" max="15870" width="6.7109375" style="1" customWidth="1"/>
    <col min="15871" max="15871" width="41.5703125" style="1" customWidth="1"/>
    <col min="15872" max="15879" width="14.7109375" style="1" customWidth="1"/>
    <col min="15880" max="15880" width="16.7109375" style="1" customWidth="1"/>
    <col min="15881" max="15881" width="10.85546875" style="1" customWidth="1"/>
    <col min="15882" max="15882" width="9.7109375" style="1" customWidth="1"/>
    <col min="15883" max="16125" width="9.140625" style="1"/>
    <col min="16126" max="16126" width="6.7109375" style="1" customWidth="1"/>
    <col min="16127" max="16127" width="41.5703125" style="1" customWidth="1"/>
    <col min="16128" max="16135" width="14.7109375" style="1" customWidth="1"/>
    <col min="16136" max="16136" width="16.7109375" style="1" customWidth="1"/>
    <col min="16137" max="16137" width="10.85546875" style="1" customWidth="1"/>
    <col min="16138" max="16138" width="9.7109375" style="1" customWidth="1"/>
    <col min="16139" max="16384" width="9.140625" style="1"/>
  </cols>
  <sheetData>
    <row r="1" spans="1:19" ht="15" customHeight="1" x14ac:dyDescent="0.25">
      <c r="N1" s="6"/>
    </row>
    <row r="2" spans="1:19" ht="20.100000000000001" customHeight="1" x14ac:dyDescent="0.35">
      <c r="A2" s="1303" t="s">
        <v>508</v>
      </c>
      <c r="B2" s="1196"/>
      <c r="C2" s="1196"/>
      <c r="D2" s="1196"/>
      <c r="E2" s="1196"/>
      <c r="F2" s="1196"/>
      <c r="G2" s="1196"/>
      <c r="H2" s="1196"/>
      <c r="I2" s="1196"/>
      <c r="J2" s="1196"/>
      <c r="K2" s="1196"/>
      <c r="L2" s="1196"/>
      <c r="M2" s="1196"/>
      <c r="N2" s="1304"/>
    </row>
    <row r="3" spans="1:19" ht="15" customHeight="1" x14ac:dyDescent="0.2"/>
    <row r="4" spans="1:19" ht="20.100000000000001" customHeight="1" x14ac:dyDescent="0.3">
      <c r="A4" s="7" t="s">
        <v>274</v>
      </c>
      <c r="M4" s="8"/>
    </row>
    <row r="5" spans="1:19" ht="15" customHeight="1" thickBot="1" x14ac:dyDescent="0.35">
      <c r="A5" s="7"/>
      <c r="N5" s="8" t="s">
        <v>0</v>
      </c>
    </row>
    <row r="6" spans="1:19" s="62" customFormat="1" ht="15.95" customHeight="1" x14ac:dyDescent="0.15">
      <c r="A6" s="1305" t="s">
        <v>88</v>
      </c>
      <c r="B6" s="1314" t="s">
        <v>103</v>
      </c>
      <c r="C6" s="1426"/>
      <c r="D6" s="1198" t="s">
        <v>365</v>
      </c>
      <c r="E6" s="1199"/>
      <c r="F6" s="1198" t="s">
        <v>440</v>
      </c>
      <c r="G6" s="1202"/>
      <c r="H6" s="1199"/>
      <c r="I6" s="1307" t="s">
        <v>507</v>
      </c>
      <c r="J6" s="1308"/>
      <c r="K6" s="1308"/>
      <c r="L6" s="1309"/>
      <c r="M6" s="1310" t="s">
        <v>509</v>
      </c>
      <c r="N6" s="1312" t="s">
        <v>510</v>
      </c>
    </row>
    <row r="7" spans="1:19" s="62" customFormat="1" ht="27.75" customHeight="1" thickBot="1" x14ac:dyDescent="0.2">
      <c r="A7" s="1306"/>
      <c r="B7" s="1316"/>
      <c r="C7" s="1427"/>
      <c r="D7" s="177" t="s">
        <v>108</v>
      </c>
      <c r="E7" s="178" t="s">
        <v>126</v>
      </c>
      <c r="F7" s="264" t="s">
        <v>109</v>
      </c>
      <c r="G7" s="265" t="s">
        <v>589</v>
      </c>
      <c r="H7" s="266" t="s">
        <v>591</v>
      </c>
      <c r="I7" s="824" t="s">
        <v>124</v>
      </c>
      <c r="J7" s="825" t="s">
        <v>125</v>
      </c>
      <c r="K7" s="826" t="s">
        <v>314</v>
      </c>
      <c r="L7" s="821" t="s">
        <v>85</v>
      </c>
      <c r="M7" s="1311"/>
      <c r="N7" s="1313"/>
    </row>
    <row r="8" spans="1:19" s="9" customFormat="1" ht="20.100000000000001" customHeight="1" thickBot="1" x14ac:dyDescent="0.3">
      <c r="A8" s="19"/>
      <c r="B8" s="10" t="s">
        <v>104</v>
      </c>
      <c r="C8" s="10"/>
      <c r="D8" s="938"/>
      <c r="E8" s="939"/>
      <c r="F8" s="11"/>
      <c r="G8" s="268"/>
      <c r="H8" s="268"/>
      <c r="I8" s="13"/>
      <c r="J8" s="13"/>
      <c r="K8" s="13"/>
      <c r="L8" s="268"/>
      <c r="M8" s="16"/>
      <c r="N8" s="16"/>
    </row>
    <row r="9" spans="1:19" ht="30" customHeight="1" x14ac:dyDescent="0.2">
      <c r="A9" s="1326">
        <v>2219</v>
      </c>
      <c r="B9" s="1429" t="s">
        <v>299</v>
      </c>
      <c r="C9" s="1430"/>
      <c r="D9" s="436">
        <v>542</v>
      </c>
      <c r="E9" s="437">
        <v>439.96</v>
      </c>
      <c r="F9" s="472">
        <v>1047</v>
      </c>
      <c r="G9" s="563">
        <v>4047</v>
      </c>
      <c r="H9" s="554">
        <v>229.71</v>
      </c>
      <c r="I9" s="436">
        <v>6290</v>
      </c>
      <c r="J9" s="520">
        <v>740</v>
      </c>
      <c r="K9" s="976">
        <v>370</v>
      </c>
      <c r="L9" s="961">
        <f>SUM(I9:K9)</f>
        <v>7400</v>
      </c>
      <c r="M9" s="441">
        <f>L9/F9*100</f>
        <v>706.78127984718242</v>
      </c>
      <c r="N9" s="442">
        <f t="shared" ref="N9:N17" si="0">L9/G9*100</f>
        <v>182.85149493451939</v>
      </c>
      <c r="O9" s="86"/>
      <c r="P9" s="66"/>
      <c r="Q9" s="66"/>
      <c r="R9" s="66"/>
      <c r="S9" s="66"/>
    </row>
    <row r="10" spans="1:19" ht="15" customHeight="1" x14ac:dyDescent="0.2">
      <c r="A10" s="1321"/>
      <c r="B10" s="996" t="s">
        <v>96</v>
      </c>
      <c r="C10" s="638" t="s">
        <v>151</v>
      </c>
      <c r="D10" s="80">
        <v>0</v>
      </c>
      <c r="E10" s="98">
        <v>0</v>
      </c>
      <c r="F10" s="94">
        <v>0</v>
      </c>
      <c r="G10" s="867">
        <v>3049</v>
      </c>
      <c r="H10" s="868">
        <v>33.03</v>
      </c>
      <c r="I10" s="1008">
        <v>0</v>
      </c>
      <c r="J10" s="1009">
        <v>0</v>
      </c>
      <c r="K10" s="1010">
        <v>0</v>
      </c>
      <c r="L10" s="1011">
        <f>SUM(I10:K10)</f>
        <v>0</v>
      </c>
      <c r="M10" s="78" t="s">
        <v>60</v>
      </c>
      <c r="N10" s="79">
        <f t="shared" si="0"/>
        <v>0</v>
      </c>
      <c r="O10" s="66"/>
      <c r="P10" s="66"/>
      <c r="Q10" s="66"/>
      <c r="R10" s="66"/>
      <c r="S10" s="66"/>
    </row>
    <row r="11" spans="1:19" ht="20.100000000000001" customHeight="1" x14ac:dyDescent="0.2">
      <c r="A11" s="637">
        <v>2219</v>
      </c>
      <c r="B11" s="1431" t="s">
        <v>463</v>
      </c>
      <c r="C11" s="1432"/>
      <c r="D11" s="445">
        <v>0</v>
      </c>
      <c r="E11" s="446">
        <v>0</v>
      </c>
      <c r="F11" s="512">
        <v>30</v>
      </c>
      <c r="G11" s="564">
        <v>30</v>
      </c>
      <c r="H11" s="657">
        <v>0</v>
      </c>
      <c r="I11" s="445">
        <v>26</v>
      </c>
      <c r="J11" s="447">
        <v>3</v>
      </c>
      <c r="K11" s="1006">
        <v>1</v>
      </c>
      <c r="L11" s="962">
        <f t="shared" ref="L11" si="1">SUM(I11:K11)</f>
        <v>30</v>
      </c>
      <c r="M11" s="451">
        <f>L11/F11*100</f>
        <v>100</v>
      </c>
      <c r="N11" s="452">
        <f t="shared" ref="N11" si="2">L11/G11*100</f>
        <v>100</v>
      </c>
      <c r="O11" s="66"/>
      <c r="P11" s="66"/>
      <c r="Q11" s="66"/>
      <c r="R11" s="66"/>
      <c r="S11" s="66"/>
    </row>
    <row r="12" spans="1:19" s="63" customFormat="1" ht="30" customHeight="1" x14ac:dyDescent="0.2">
      <c r="A12" s="489">
        <v>2239</v>
      </c>
      <c r="B12" s="1431" t="s">
        <v>220</v>
      </c>
      <c r="C12" s="1432"/>
      <c r="D12" s="454">
        <v>1740</v>
      </c>
      <c r="E12" s="455">
        <v>1640</v>
      </c>
      <c r="F12" s="512">
        <v>1940</v>
      </c>
      <c r="G12" s="516">
        <v>1940</v>
      </c>
      <c r="H12" s="555">
        <v>1940</v>
      </c>
      <c r="I12" s="454">
        <v>1649</v>
      </c>
      <c r="J12" s="523">
        <v>194</v>
      </c>
      <c r="K12" s="977">
        <v>97</v>
      </c>
      <c r="L12" s="962">
        <f t="shared" ref="L12:L21" si="3">SUM(I12:K12)</f>
        <v>1940</v>
      </c>
      <c r="M12" s="459">
        <f t="shared" ref="M12:M20" si="4">L12/F12*100</f>
        <v>100</v>
      </c>
      <c r="N12" s="460">
        <f t="shared" si="0"/>
        <v>100</v>
      </c>
    </row>
    <row r="13" spans="1:19" s="63" customFormat="1" ht="45" customHeight="1" x14ac:dyDescent="0.2">
      <c r="A13" s="1299">
        <v>2292</v>
      </c>
      <c r="B13" s="1438" t="s">
        <v>537</v>
      </c>
      <c r="C13" s="1439"/>
      <c r="D13" s="454">
        <f>SUM(D14:D22)</f>
        <v>145961</v>
      </c>
      <c r="E13" s="455">
        <f t="shared" ref="E13:K13" si="5">SUM(E14:E22)</f>
        <v>127979.89</v>
      </c>
      <c r="F13" s="499">
        <f t="shared" si="5"/>
        <v>161054</v>
      </c>
      <c r="G13" s="457">
        <f t="shared" si="5"/>
        <v>206915.93</v>
      </c>
      <c r="H13" s="555">
        <f t="shared" si="5"/>
        <v>135681.13</v>
      </c>
      <c r="I13" s="454">
        <f t="shared" si="5"/>
        <v>199740</v>
      </c>
      <c r="J13" s="523">
        <f t="shared" si="5"/>
        <v>23499</v>
      </c>
      <c r="K13" s="977">
        <f t="shared" si="5"/>
        <v>11748</v>
      </c>
      <c r="L13" s="962">
        <f>SUM(I13:K13)</f>
        <v>234987</v>
      </c>
      <c r="M13" s="459">
        <f t="shared" si="4"/>
        <v>145.90572106250076</v>
      </c>
      <c r="N13" s="460">
        <f t="shared" si="0"/>
        <v>113.56641318046417</v>
      </c>
    </row>
    <row r="14" spans="1:19" s="63" customFormat="1" ht="15" customHeight="1" x14ac:dyDescent="0.2">
      <c r="A14" s="1300"/>
      <c r="B14" s="1341" t="s">
        <v>96</v>
      </c>
      <c r="C14" s="568" t="s">
        <v>138</v>
      </c>
      <c r="D14" s="74">
        <v>425</v>
      </c>
      <c r="E14" s="99">
        <v>425</v>
      </c>
      <c r="F14" s="91">
        <v>430</v>
      </c>
      <c r="G14" s="867">
        <v>430</v>
      </c>
      <c r="H14" s="868">
        <v>430</v>
      </c>
      <c r="I14" s="1008">
        <v>366</v>
      </c>
      <c r="J14" s="1009">
        <v>43</v>
      </c>
      <c r="K14" s="1010">
        <v>21</v>
      </c>
      <c r="L14" s="1011">
        <f>SUM(I14:K14)</f>
        <v>430</v>
      </c>
      <c r="M14" s="78">
        <f>L14/F14*100</f>
        <v>100</v>
      </c>
      <c r="N14" s="79">
        <f t="shared" ref="N14" si="6">L14/G14*100</f>
        <v>100</v>
      </c>
    </row>
    <row r="15" spans="1:19" s="63" customFormat="1" ht="15" customHeight="1" x14ac:dyDescent="0.2">
      <c r="A15" s="1300"/>
      <c r="B15" s="1342"/>
      <c r="C15" s="568" t="s">
        <v>137</v>
      </c>
      <c r="D15" s="80">
        <v>14215</v>
      </c>
      <c r="E15" s="98">
        <v>12665</v>
      </c>
      <c r="F15" s="94">
        <v>15274</v>
      </c>
      <c r="G15" s="867">
        <v>22420.17</v>
      </c>
      <c r="H15" s="868">
        <v>17527.169999999998</v>
      </c>
      <c r="I15" s="1008">
        <v>24102</v>
      </c>
      <c r="J15" s="1009">
        <v>2836</v>
      </c>
      <c r="K15" s="1010">
        <v>1417</v>
      </c>
      <c r="L15" s="1011">
        <f>SUM(I15:K15)</f>
        <v>28355</v>
      </c>
      <c r="M15" s="78">
        <f>L15/F15*100</f>
        <v>185.64226790624591</v>
      </c>
      <c r="N15" s="79">
        <f>L15/G15*100</f>
        <v>126.47094112132066</v>
      </c>
    </row>
    <row r="16" spans="1:19" s="63" customFormat="1" ht="15" customHeight="1" x14ac:dyDescent="0.2">
      <c r="A16" s="1300"/>
      <c r="B16" s="1342"/>
      <c r="C16" s="568" t="s">
        <v>464</v>
      </c>
      <c r="D16" s="872">
        <v>0</v>
      </c>
      <c r="E16" s="77">
        <v>1550</v>
      </c>
      <c r="F16" s="873">
        <v>1550</v>
      </c>
      <c r="G16" s="867">
        <v>1550</v>
      </c>
      <c r="H16" s="868">
        <v>1162.8</v>
      </c>
      <c r="I16" s="1008">
        <v>1318</v>
      </c>
      <c r="J16" s="1009">
        <v>155</v>
      </c>
      <c r="K16" s="1010">
        <v>77</v>
      </c>
      <c r="L16" s="1011">
        <f t="shared" ref="L16" si="7">SUM(I16:K16)</f>
        <v>1550</v>
      </c>
      <c r="M16" s="78">
        <f>L16/F16*100</f>
        <v>100</v>
      </c>
      <c r="N16" s="79">
        <f t="shared" ref="N16" si="8">L16/G16*100</f>
        <v>100</v>
      </c>
    </row>
    <row r="17" spans="1:15" s="63" customFormat="1" ht="15" customHeight="1" x14ac:dyDescent="0.2">
      <c r="A17" s="1300"/>
      <c r="B17" s="1342"/>
      <c r="C17" s="568" t="s">
        <v>376</v>
      </c>
      <c r="D17" s="74">
        <v>61821</v>
      </c>
      <c r="E17" s="99">
        <v>61821</v>
      </c>
      <c r="F17" s="91">
        <v>70000</v>
      </c>
      <c r="G17" s="867">
        <v>108715.76</v>
      </c>
      <c r="H17" s="868">
        <v>76952.160000000003</v>
      </c>
      <c r="I17" s="1008">
        <v>106549</v>
      </c>
      <c r="J17" s="1009">
        <v>12535</v>
      </c>
      <c r="K17" s="1010">
        <v>6268</v>
      </c>
      <c r="L17" s="1011">
        <f t="shared" si="3"/>
        <v>125352</v>
      </c>
      <c r="M17" s="78">
        <f t="shared" si="4"/>
        <v>179.07428571428571</v>
      </c>
      <c r="N17" s="79">
        <f t="shared" si="0"/>
        <v>115.30250995807785</v>
      </c>
    </row>
    <row r="18" spans="1:15" s="63" customFormat="1" ht="15" customHeight="1" x14ac:dyDescent="0.2">
      <c r="A18" s="1300"/>
      <c r="B18" s="1342"/>
      <c r="C18" s="646" t="s">
        <v>444</v>
      </c>
      <c r="D18" s="74">
        <v>20000</v>
      </c>
      <c r="E18" s="99">
        <v>16700</v>
      </c>
      <c r="F18" s="91">
        <v>20000</v>
      </c>
      <c r="G18" s="867">
        <v>20000</v>
      </c>
      <c r="H18" s="868">
        <v>15003</v>
      </c>
      <c r="I18" s="1008">
        <v>17000</v>
      </c>
      <c r="J18" s="1009">
        <v>2000</v>
      </c>
      <c r="K18" s="1010">
        <v>1000</v>
      </c>
      <c r="L18" s="1011">
        <f t="shared" si="3"/>
        <v>20000</v>
      </c>
      <c r="M18" s="78">
        <f t="shared" si="4"/>
        <v>100</v>
      </c>
      <c r="N18" s="79">
        <f t="shared" ref="N18:N21" si="9">L18/G18*100</f>
        <v>100</v>
      </c>
    </row>
    <row r="19" spans="1:15" s="63" customFormat="1" ht="15" customHeight="1" x14ac:dyDescent="0.2">
      <c r="A19" s="1300"/>
      <c r="B19" s="1342"/>
      <c r="C19" s="646" t="s">
        <v>465</v>
      </c>
      <c r="D19" s="74">
        <v>0</v>
      </c>
      <c r="E19" s="99">
        <v>0</v>
      </c>
      <c r="F19" s="91">
        <v>4300</v>
      </c>
      <c r="G19" s="867">
        <v>4300</v>
      </c>
      <c r="H19" s="868">
        <v>3231</v>
      </c>
      <c r="I19" s="1008">
        <v>3655</v>
      </c>
      <c r="J19" s="1009">
        <v>430</v>
      </c>
      <c r="K19" s="1010">
        <v>215</v>
      </c>
      <c r="L19" s="1011">
        <f t="shared" si="3"/>
        <v>4300</v>
      </c>
      <c r="M19" s="78">
        <f t="shared" si="4"/>
        <v>100</v>
      </c>
      <c r="N19" s="79">
        <f t="shared" si="9"/>
        <v>100</v>
      </c>
    </row>
    <row r="20" spans="1:15" s="63" customFormat="1" ht="15" customHeight="1" x14ac:dyDescent="0.2">
      <c r="A20" s="1300"/>
      <c r="B20" s="1342"/>
      <c r="C20" s="568" t="s">
        <v>408</v>
      </c>
      <c r="D20" s="74">
        <v>7000</v>
      </c>
      <c r="E20" s="99">
        <v>1357.73</v>
      </c>
      <c r="F20" s="91">
        <v>7000</v>
      </c>
      <c r="G20" s="867">
        <v>7000</v>
      </c>
      <c r="H20" s="868">
        <v>0</v>
      </c>
      <c r="I20" s="1008">
        <v>5950</v>
      </c>
      <c r="J20" s="1009">
        <v>700</v>
      </c>
      <c r="K20" s="1010">
        <v>350</v>
      </c>
      <c r="L20" s="1011">
        <f t="shared" si="3"/>
        <v>7000</v>
      </c>
      <c r="M20" s="78">
        <f t="shared" si="4"/>
        <v>100</v>
      </c>
      <c r="N20" s="79">
        <f t="shared" si="9"/>
        <v>100</v>
      </c>
    </row>
    <row r="21" spans="1:15" s="63" customFormat="1" ht="15" customHeight="1" x14ac:dyDescent="0.2">
      <c r="A21" s="1300"/>
      <c r="B21" s="1342"/>
      <c r="C21" s="568" t="s">
        <v>410</v>
      </c>
      <c r="D21" s="74">
        <v>14000</v>
      </c>
      <c r="E21" s="99">
        <v>4961.16</v>
      </c>
      <c r="F21" s="91">
        <v>14000</v>
      </c>
      <c r="G21" s="867">
        <v>14000</v>
      </c>
      <c r="H21" s="868">
        <v>0</v>
      </c>
      <c r="I21" s="1008">
        <v>11900</v>
      </c>
      <c r="J21" s="1009">
        <v>1400</v>
      </c>
      <c r="K21" s="1010">
        <v>700</v>
      </c>
      <c r="L21" s="1011">
        <f t="shared" si="3"/>
        <v>14000</v>
      </c>
      <c r="M21" s="78">
        <f t="shared" ref="M21" si="10">L21/F21*100</f>
        <v>100</v>
      </c>
      <c r="N21" s="79">
        <f t="shared" si="9"/>
        <v>100</v>
      </c>
    </row>
    <row r="22" spans="1:15" s="63" customFormat="1" ht="15" customHeight="1" x14ac:dyDescent="0.2">
      <c r="A22" s="1321"/>
      <c r="B22" s="1343"/>
      <c r="C22" s="568" t="s">
        <v>243</v>
      </c>
      <c r="D22" s="74">
        <v>28500</v>
      </c>
      <c r="E22" s="99">
        <v>28500</v>
      </c>
      <c r="F22" s="91">
        <v>28500</v>
      </c>
      <c r="G22" s="965">
        <v>28500</v>
      </c>
      <c r="H22" s="966">
        <v>21375</v>
      </c>
      <c r="I22" s="1012">
        <v>28900</v>
      </c>
      <c r="J22" s="1013">
        <v>3400</v>
      </c>
      <c r="K22" s="1153">
        <v>1700</v>
      </c>
      <c r="L22" s="1011">
        <f>SUM(I22:K22)</f>
        <v>34000</v>
      </c>
      <c r="M22" s="78">
        <f>L22/F22*100</f>
        <v>119.29824561403508</v>
      </c>
      <c r="N22" s="79">
        <f>L22/G22*100</f>
        <v>119.29824561403508</v>
      </c>
    </row>
    <row r="23" spans="1:15" s="63" customFormat="1" ht="20.100000000000001" customHeight="1" x14ac:dyDescent="0.2">
      <c r="A23" s="1435">
        <v>2292</v>
      </c>
      <c r="B23" s="1433" t="s">
        <v>295</v>
      </c>
      <c r="C23" s="1434"/>
      <c r="D23" s="454">
        <f t="shared" ref="D23" si="11">SUM(D24:D27)</f>
        <v>1865099</v>
      </c>
      <c r="E23" s="455">
        <f t="shared" ref="E23:K23" si="12">SUM(E24:E27)</f>
        <v>2224858.2200000002</v>
      </c>
      <c r="F23" s="499">
        <f t="shared" si="12"/>
        <v>2559288</v>
      </c>
      <c r="G23" s="457">
        <f t="shared" si="12"/>
        <v>2640896.1999999997</v>
      </c>
      <c r="H23" s="555">
        <f t="shared" si="12"/>
        <v>1751871.07</v>
      </c>
      <c r="I23" s="454">
        <f t="shared" si="12"/>
        <v>1956667</v>
      </c>
      <c r="J23" s="523">
        <f t="shared" si="12"/>
        <v>230196</v>
      </c>
      <c r="K23" s="977">
        <f t="shared" si="12"/>
        <v>115098</v>
      </c>
      <c r="L23" s="962">
        <f>SUM(I23:K23)</f>
        <v>2301961</v>
      </c>
      <c r="M23" s="459">
        <f t="shared" ref="M23:M30" si="13">L23/F23*100</f>
        <v>89.945367617868726</v>
      </c>
      <c r="N23" s="460">
        <f t="shared" ref="N23:N30" si="14">L23/G23*100</f>
        <v>87.165902241822309</v>
      </c>
      <c r="O23" s="96"/>
    </row>
    <row r="24" spans="1:15" s="63" customFormat="1" ht="27" customHeight="1" x14ac:dyDescent="0.2">
      <c r="A24" s="1436"/>
      <c r="B24" s="1327" t="s">
        <v>96</v>
      </c>
      <c r="C24" s="646" t="s">
        <v>430</v>
      </c>
      <c r="D24" s="74">
        <v>1609099</v>
      </c>
      <c r="E24" s="99">
        <v>1988390.6</v>
      </c>
      <c r="F24" s="91">
        <v>2230375</v>
      </c>
      <c r="G24" s="853">
        <v>2302352.7599999998</v>
      </c>
      <c r="H24" s="75">
        <v>1573222.77</v>
      </c>
      <c r="I24" s="872">
        <v>1660017</v>
      </c>
      <c r="J24" s="963">
        <v>195296</v>
      </c>
      <c r="K24" s="964">
        <v>97648</v>
      </c>
      <c r="L24" s="1011">
        <f t="shared" ref="L24:L27" si="15">SUM(I24:K24)</f>
        <v>1952961</v>
      </c>
      <c r="M24" s="78">
        <f t="shared" si="13"/>
        <v>87.562001905509163</v>
      </c>
      <c r="N24" s="79">
        <f t="shared" si="14"/>
        <v>84.824577446594247</v>
      </c>
      <c r="O24" s="96"/>
    </row>
    <row r="25" spans="1:15" s="63" customFormat="1" ht="27" customHeight="1" x14ac:dyDescent="0.2">
      <c r="A25" s="1436"/>
      <c r="B25" s="1428"/>
      <c r="C25" s="646" t="s">
        <v>549</v>
      </c>
      <c r="D25" s="74">
        <v>220000</v>
      </c>
      <c r="E25" s="99">
        <v>189917.7</v>
      </c>
      <c r="F25" s="91">
        <v>220000</v>
      </c>
      <c r="G25" s="853">
        <v>220000</v>
      </c>
      <c r="H25" s="75">
        <v>145350</v>
      </c>
      <c r="I25" s="872">
        <v>178500</v>
      </c>
      <c r="J25" s="963">
        <v>21000</v>
      </c>
      <c r="K25" s="964">
        <v>10500</v>
      </c>
      <c r="L25" s="1011">
        <f t="shared" ref="L25" si="16">SUM(I25:K25)</f>
        <v>210000</v>
      </c>
      <c r="M25" s="78">
        <f t="shared" si="13"/>
        <v>95.454545454545453</v>
      </c>
      <c r="N25" s="79">
        <f t="shared" si="14"/>
        <v>95.454545454545453</v>
      </c>
      <c r="O25" s="96"/>
    </row>
    <row r="26" spans="1:15" s="63" customFormat="1" ht="27" customHeight="1" x14ac:dyDescent="0.2">
      <c r="A26" s="1436"/>
      <c r="B26" s="1428"/>
      <c r="C26" s="646" t="s">
        <v>466</v>
      </c>
      <c r="D26" s="74">
        <v>0</v>
      </c>
      <c r="E26" s="99">
        <v>20000</v>
      </c>
      <c r="F26" s="91">
        <v>78913</v>
      </c>
      <c r="G26" s="853">
        <v>78913</v>
      </c>
      <c r="H26" s="75">
        <v>0</v>
      </c>
      <c r="I26" s="872">
        <v>89250</v>
      </c>
      <c r="J26" s="963">
        <v>10500</v>
      </c>
      <c r="K26" s="964">
        <v>5250</v>
      </c>
      <c r="L26" s="1011">
        <f t="shared" ref="L26" si="17">SUM(I26:K26)</f>
        <v>105000</v>
      </c>
      <c r="M26" s="78">
        <f t="shared" ref="M26" si="18">L26/F26*100</f>
        <v>133.05792454982068</v>
      </c>
      <c r="N26" s="79">
        <f t="shared" ref="N26" si="19">L26/G26*100</f>
        <v>133.05792454982068</v>
      </c>
      <c r="O26" s="96"/>
    </row>
    <row r="27" spans="1:15" s="63" customFormat="1" ht="15" customHeight="1" x14ac:dyDescent="0.2">
      <c r="A27" s="1437"/>
      <c r="B27" s="1328"/>
      <c r="C27" s="568" t="s">
        <v>406</v>
      </c>
      <c r="D27" s="74">
        <v>36000</v>
      </c>
      <c r="E27" s="99">
        <v>26549.919999999998</v>
      </c>
      <c r="F27" s="91">
        <v>30000</v>
      </c>
      <c r="G27" s="849">
        <v>39630.44</v>
      </c>
      <c r="H27" s="93">
        <v>33298.300000000003</v>
      </c>
      <c r="I27" s="83">
        <v>28900</v>
      </c>
      <c r="J27" s="1014">
        <v>3400</v>
      </c>
      <c r="K27" s="1015">
        <v>1700</v>
      </c>
      <c r="L27" s="1011">
        <f t="shared" si="15"/>
        <v>34000</v>
      </c>
      <c r="M27" s="78">
        <f t="shared" si="13"/>
        <v>113.33333333333333</v>
      </c>
      <c r="N27" s="79">
        <f t="shared" si="14"/>
        <v>85.792638184183673</v>
      </c>
    </row>
    <row r="28" spans="1:15" s="63" customFormat="1" ht="20.100000000000001" customHeight="1" x14ac:dyDescent="0.2">
      <c r="A28" s="1435">
        <v>2294</v>
      </c>
      <c r="B28" s="1433" t="s">
        <v>296</v>
      </c>
      <c r="C28" s="1434"/>
      <c r="D28" s="477">
        <f t="shared" ref="D28" si="20">SUM(D29:D31)</f>
        <v>2072052</v>
      </c>
      <c r="E28" s="500">
        <f t="shared" ref="E28:K28" si="21">SUM(E29:E31)</f>
        <v>2499678.9000000004</v>
      </c>
      <c r="F28" s="501">
        <f t="shared" si="21"/>
        <v>2603397</v>
      </c>
      <c r="G28" s="561">
        <f t="shared" si="21"/>
        <v>2721018.45</v>
      </c>
      <c r="H28" s="967">
        <f t="shared" si="21"/>
        <v>2082561.98</v>
      </c>
      <c r="I28" s="551">
        <f t="shared" si="21"/>
        <v>2843283</v>
      </c>
      <c r="J28" s="1016">
        <f t="shared" si="21"/>
        <v>334504</v>
      </c>
      <c r="K28" s="1017">
        <f t="shared" si="21"/>
        <v>167252</v>
      </c>
      <c r="L28" s="962">
        <f t="shared" ref="L28:L30" si="22">SUM(I28:K28)</f>
        <v>3345039</v>
      </c>
      <c r="M28" s="459">
        <f t="shared" si="13"/>
        <v>128.48747232942191</v>
      </c>
      <c r="N28" s="460">
        <f t="shared" si="14"/>
        <v>122.93334504953467</v>
      </c>
      <c r="O28" s="96"/>
    </row>
    <row r="29" spans="1:15" s="63" customFormat="1" ht="27" customHeight="1" x14ac:dyDescent="0.2">
      <c r="A29" s="1436"/>
      <c r="B29" s="1327" t="s">
        <v>96</v>
      </c>
      <c r="C29" s="646" t="s">
        <v>431</v>
      </c>
      <c r="D29" s="74">
        <v>2022052</v>
      </c>
      <c r="E29" s="99">
        <v>2357957.9900000002</v>
      </c>
      <c r="F29" s="91">
        <v>2298511</v>
      </c>
      <c r="G29" s="76">
        <v>2416132.4500000002</v>
      </c>
      <c r="H29" s="413">
        <v>2049461.98</v>
      </c>
      <c r="I29" s="74">
        <v>2536604</v>
      </c>
      <c r="J29" s="340">
        <v>298424</v>
      </c>
      <c r="K29" s="1018">
        <v>149212</v>
      </c>
      <c r="L29" s="1011">
        <f t="shared" si="22"/>
        <v>2984240</v>
      </c>
      <c r="M29" s="78">
        <f t="shared" si="13"/>
        <v>129.83361837293796</v>
      </c>
      <c r="N29" s="79">
        <f t="shared" si="14"/>
        <v>123.51309631224893</v>
      </c>
      <c r="O29" s="96"/>
    </row>
    <row r="30" spans="1:15" s="63" customFormat="1" ht="27" customHeight="1" x14ac:dyDescent="0.2">
      <c r="A30" s="1436"/>
      <c r="B30" s="1428"/>
      <c r="C30" s="646" t="s">
        <v>550</v>
      </c>
      <c r="D30" s="74">
        <v>50000</v>
      </c>
      <c r="E30" s="99">
        <v>37058.559999999998</v>
      </c>
      <c r="F30" s="91">
        <v>53000</v>
      </c>
      <c r="G30" s="76">
        <v>53000</v>
      </c>
      <c r="H30" s="413">
        <v>33100</v>
      </c>
      <c r="I30" s="74">
        <v>53550</v>
      </c>
      <c r="J30" s="340">
        <v>6300</v>
      </c>
      <c r="K30" s="1018">
        <v>3150</v>
      </c>
      <c r="L30" s="1011">
        <f t="shared" si="22"/>
        <v>63000</v>
      </c>
      <c r="M30" s="78">
        <f t="shared" si="13"/>
        <v>118.86792452830188</v>
      </c>
      <c r="N30" s="79">
        <f t="shared" si="14"/>
        <v>118.86792452830188</v>
      </c>
      <c r="O30" s="96"/>
    </row>
    <row r="31" spans="1:15" s="63" customFormat="1" ht="27" customHeight="1" x14ac:dyDescent="0.2">
      <c r="A31" s="1436"/>
      <c r="B31" s="1428"/>
      <c r="C31" s="646" t="s">
        <v>598</v>
      </c>
      <c r="D31" s="74">
        <v>0</v>
      </c>
      <c r="E31" s="99">
        <v>104662.35</v>
      </c>
      <c r="F31" s="91">
        <v>251886</v>
      </c>
      <c r="G31" s="76">
        <v>251886</v>
      </c>
      <c r="H31" s="413">
        <v>0</v>
      </c>
      <c r="I31" s="74">
        <v>253129</v>
      </c>
      <c r="J31" s="340">
        <v>29780</v>
      </c>
      <c r="K31" s="1018">
        <v>14890</v>
      </c>
      <c r="L31" s="1011">
        <f t="shared" ref="L31" si="23">SUM(I31:K31)</f>
        <v>297799</v>
      </c>
      <c r="M31" s="78">
        <f t="shared" ref="M31" si="24">L31/F31*100</f>
        <v>118.22769030434404</v>
      </c>
      <c r="N31" s="79">
        <f t="shared" ref="N31" si="25">L31/G31*100</f>
        <v>118.22769030434404</v>
      </c>
      <c r="O31" s="96"/>
    </row>
    <row r="32" spans="1:15" s="63" customFormat="1" ht="20.100000000000001" customHeight="1" x14ac:dyDescent="0.2">
      <c r="A32" s="560">
        <v>2299</v>
      </c>
      <c r="B32" s="1433" t="s">
        <v>377</v>
      </c>
      <c r="C32" s="1434"/>
      <c r="D32" s="477">
        <v>6655</v>
      </c>
      <c r="E32" s="500">
        <v>0</v>
      </c>
      <c r="F32" s="501">
        <v>0</v>
      </c>
      <c r="G32" s="479">
        <v>0</v>
      </c>
      <c r="H32" s="556">
        <v>0</v>
      </c>
      <c r="I32" s="477">
        <v>0</v>
      </c>
      <c r="J32" s="525">
        <v>0</v>
      </c>
      <c r="K32" s="1019">
        <v>0</v>
      </c>
      <c r="L32" s="962">
        <f t="shared" ref="L32:L35" si="26">SUM(I32:K32)</f>
        <v>0</v>
      </c>
      <c r="M32" s="459" t="s">
        <v>60</v>
      </c>
      <c r="N32" s="460" t="s">
        <v>60</v>
      </c>
    </row>
    <row r="33" spans="1:15" s="63" customFormat="1" ht="20.100000000000001" customHeight="1" x14ac:dyDescent="0.2">
      <c r="A33" s="560">
        <v>2299</v>
      </c>
      <c r="B33" s="1433" t="s">
        <v>113</v>
      </c>
      <c r="C33" s="1434"/>
      <c r="D33" s="477">
        <v>4138</v>
      </c>
      <c r="E33" s="500">
        <v>227.16</v>
      </c>
      <c r="F33" s="501">
        <v>3638</v>
      </c>
      <c r="G33" s="479">
        <v>3938</v>
      </c>
      <c r="H33" s="556">
        <v>101.06</v>
      </c>
      <c r="I33" s="477">
        <v>425</v>
      </c>
      <c r="J33" s="525">
        <v>50</v>
      </c>
      <c r="K33" s="1019">
        <v>25</v>
      </c>
      <c r="L33" s="962">
        <f t="shared" si="26"/>
        <v>500</v>
      </c>
      <c r="M33" s="459">
        <f t="shared" ref="M33" si="27">L33/F33*100</f>
        <v>13.743815283122595</v>
      </c>
      <c r="N33" s="460">
        <f t="shared" ref="N33" si="28">L33/G33*100</f>
        <v>12.696800406297612</v>
      </c>
    </row>
    <row r="34" spans="1:15" s="63" customFormat="1" ht="20.100000000000001" customHeight="1" x14ac:dyDescent="0.2">
      <c r="A34" s="560">
        <v>6172</v>
      </c>
      <c r="B34" s="1433" t="s">
        <v>105</v>
      </c>
      <c r="C34" s="1434"/>
      <c r="D34" s="454">
        <v>182</v>
      </c>
      <c r="E34" s="455">
        <v>163.98</v>
      </c>
      <c r="F34" s="499">
        <v>200</v>
      </c>
      <c r="G34" s="457">
        <v>350</v>
      </c>
      <c r="H34" s="555">
        <v>71.349999999999994</v>
      </c>
      <c r="I34" s="454">
        <v>170</v>
      </c>
      <c r="J34" s="523">
        <v>20</v>
      </c>
      <c r="K34" s="977">
        <v>10</v>
      </c>
      <c r="L34" s="962">
        <f t="shared" si="26"/>
        <v>200</v>
      </c>
      <c r="M34" s="459">
        <f t="shared" ref="M34" si="29">L34/F34*100</f>
        <v>100</v>
      </c>
      <c r="N34" s="460">
        <f t="shared" ref="N34" si="30">L34/G34*100</f>
        <v>57.142857142857139</v>
      </c>
    </row>
    <row r="35" spans="1:15" s="63" customFormat="1" ht="42.6" customHeight="1" thickBot="1" x14ac:dyDescent="0.25">
      <c r="A35" s="560">
        <v>6221</v>
      </c>
      <c r="B35" s="1431" t="s">
        <v>403</v>
      </c>
      <c r="C35" s="1432"/>
      <c r="D35" s="454">
        <v>0</v>
      </c>
      <c r="E35" s="455">
        <v>0</v>
      </c>
      <c r="F35" s="499">
        <v>0</v>
      </c>
      <c r="G35" s="457">
        <v>7293.65</v>
      </c>
      <c r="H35" s="555">
        <v>7293.65</v>
      </c>
      <c r="I35" s="454">
        <v>0</v>
      </c>
      <c r="J35" s="523">
        <v>0</v>
      </c>
      <c r="K35" s="977">
        <v>0</v>
      </c>
      <c r="L35" s="962">
        <f t="shared" si="26"/>
        <v>0</v>
      </c>
      <c r="M35" s="459" t="s">
        <v>60</v>
      </c>
      <c r="N35" s="460">
        <f t="shared" ref="N35" si="31">L35/G35*100</f>
        <v>0</v>
      </c>
    </row>
    <row r="36" spans="1:15" s="19" customFormat="1" ht="16.5" thickBot="1" x14ac:dyDescent="0.3">
      <c r="A36" s="204"/>
      <c r="B36" s="401" t="s">
        <v>85</v>
      </c>
      <c r="C36" s="643"/>
      <c r="D36" s="181">
        <f t="shared" ref="D36:L36" si="32">+D9+D11+D12+D13+D23+D28+SUM(D32:D35)</f>
        <v>4096369</v>
      </c>
      <c r="E36" s="194">
        <f t="shared" si="32"/>
        <v>4854988.1100000003</v>
      </c>
      <c r="F36" s="181">
        <f t="shared" si="32"/>
        <v>5330594</v>
      </c>
      <c r="G36" s="183">
        <f t="shared" si="32"/>
        <v>5586429.2300000004</v>
      </c>
      <c r="H36" s="182">
        <f t="shared" si="32"/>
        <v>3979749.95</v>
      </c>
      <c r="I36" s="181">
        <f t="shared" si="32"/>
        <v>5008250</v>
      </c>
      <c r="J36" s="956">
        <f t="shared" si="32"/>
        <v>589206</v>
      </c>
      <c r="K36" s="191">
        <f t="shared" si="32"/>
        <v>294601</v>
      </c>
      <c r="L36" s="981">
        <f t="shared" si="32"/>
        <v>5892057</v>
      </c>
      <c r="M36" s="188">
        <f>L36/F36*100</f>
        <v>110.53284118055136</v>
      </c>
      <c r="N36" s="189">
        <f>L36/G36*100</f>
        <v>105.47089665718363</v>
      </c>
      <c r="O36" s="18"/>
    </row>
    <row r="38" spans="1:15" s="65" customFormat="1" ht="15" x14ac:dyDescent="0.25">
      <c r="D38" s="168"/>
      <c r="E38" s="167"/>
      <c r="F38" s="168"/>
      <c r="G38" s="167"/>
      <c r="H38" s="167"/>
      <c r="I38" s="167"/>
      <c r="J38" s="167"/>
      <c r="K38" s="167"/>
      <c r="L38" s="22"/>
    </row>
    <row r="39" spans="1:15" s="65" customFormat="1" ht="15" x14ac:dyDescent="0.25">
      <c r="A39" s="1174"/>
      <c r="C39" s="168"/>
      <c r="D39" s="167"/>
      <c r="E39" s="167"/>
      <c r="F39" s="167"/>
      <c r="G39" s="167"/>
      <c r="H39" s="167"/>
      <c r="I39" s="167"/>
      <c r="J39" s="167"/>
      <c r="K39" s="167"/>
      <c r="L39" s="167"/>
      <c r="M39" s="1175"/>
      <c r="N39" s="6"/>
    </row>
  </sheetData>
  <mergeCells count="25">
    <mergeCell ref="B24:B27"/>
    <mergeCell ref="B9:C9"/>
    <mergeCell ref="B14:B22"/>
    <mergeCell ref="B35:C35"/>
    <mergeCell ref="A13:A22"/>
    <mergeCell ref="B23:C23"/>
    <mergeCell ref="A23:A27"/>
    <mergeCell ref="B12:C12"/>
    <mergeCell ref="B13:C13"/>
    <mergeCell ref="B11:C11"/>
    <mergeCell ref="A28:A31"/>
    <mergeCell ref="B28:C28"/>
    <mergeCell ref="B33:C33"/>
    <mergeCell ref="B34:C34"/>
    <mergeCell ref="B32:C32"/>
    <mergeCell ref="B29:B31"/>
    <mergeCell ref="A9:A10"/>
    <mergeCell ref="A2:N2"/>
    <mergeCell ref="A6:A7"/>
    <mergeCell ref="B6:C7"/>
    <mergeCell ref="D6:E6"/>
    <mergeCell ref="F6:H6"/>
    <mergeCell ref="I6:L6"/>
    <mergeCell ref="M6:M7"/>
    <mergeCell ref="N6:N7"/>
  </mergeCells>
  <dataValidations count="1">
    <dataValidation type="whole" operator="greaterThanOrEqual" allowBlank="1" showInputMessage="1" showErrorMessage="1" error="Nutno zadat celé číslo" sqref="I14:K22 I24:K27" xr:uid="{6324E900-4D6B-4DC1-A718-2106D605AD2F}">
      <formula1>0</formula1>
    </dataValidation>
  </dataValidations>
  <pageMargins left="0.70866141732283472" right="0.70866141732283472" top="0.78740157480314965" bottom="0.78740157480314965" header="0.31496062992125984" footer="0.31496062992125984"/>
  <pageSetup paperSize="9" scale="62"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ageSetUpPr fitToPage="1"/>
  </sheetPr>
  <dimension ref="A1:V32"/>
  <sheetViews>
    <sheetView workbookViewId="0"/>
  </sheetViews>
  <sheetFormatPr defaultRowHeight="12.75" x14ac:dyDescent="0.2"/>
  <cols>
    <col min="1" max="1" width="7.5703125" style="1" customWidth="1"/>
    <col min="2" max="2" width="47.7109375" style="1" customWidth="1"/>
    <col min="3" max="3" width="14.7109375" style="2" customWidth="1"/>
    <col min="4" max="4" width="14.7109375" style="3" customWidth="1"/>
    <col min="5" max="5" width="14.7109375" style="2" customWidth="1"/>
    <col min="6" max="6" width="16" style="3" customWidth="1"/>
    <col min="7" max="8" width="14.7109375" style="3" customWidth="1"/>
    <col min="9" max="9" width="15.42578125" style="3" customWidth="1"/>
    <col min="10" max="10" width="14.7109375" style="3" customWidth="1"/>
    <col min="11" max="11" width="14.7109375" style="787" customWidth="1"/>
    <col min="12" max="12" width="9.85546875" style="5" customWidth="1"/>
    <col min="13" max="13" width="9.7109375" style="5" customWidth="1"/>
    <col min="14" max="14" width="8.5703125" style="1" customWidth="1"/>
    <col min="15" max="256" width="9.140625" style="1"/>
    <col min="257" max="257" width="6.7109375" style="1" customWidth="1"/>
    <col min="258" max="258" width="41.5703125" style="1" customWidth="1"/>
    <col min="259" max="266" width="14.7109375" style="1" customWidth="1"/>
    <col min="267" max="267" width="16.7109375" style="1" customWidth="1"/>
    <col min="268" max="268" width="10.85546875" style="1" customWidth="1"/>
    <col min="269" max="269" width="9.7109375" style="1" customWidth="1"/>
    <col min="270" max="512" width="9.140625" style="1"/>
    <col min="513" max="513" width="6.7109375" style="1" customWidth="1"/>
    <col min="514" max="514" width="41.5703125" style="1" customWidth="1"/>
    <col min="515" max="522" width="14.7109375" style="1" customWidth="1"/>
    <col min="523" max="523" width="16.7109375" style="1" customWidth="1"/>
    <col min="524" max="524" width="10.85546875" style="1" customWidth="1"/>
    <col min="525" max="525" width="9.7109375" style="1" customWidth="1"/>
    <col min="526" max="768" width="9.140625" style="1"/>
    <col min="769" max="769" width="6.7109375" style="1" customWidth="1"/>
    <col min="770" max="770" width="41.5703125" style="1" customWidth="1"/>
    <col min="771" max="778" width="14.7109375" style="1" customWidth="1"/>
    <col min="779" max="779" width="16.7109375" style="1" customWidth="1"/>
    <col min="780" max="780" width="10.85546875" style="1" customWidth="1"/>
    <col min="781" max="781" width="9.7109375" style="1" customWidth="1"/>
    <col min="782" max="1024" width="9.140625" style="1"/>
    <col min="1025" max="1025" width="6.7109375" style="1" customWidth="1"/>
    <col min="1026" max="1026" width="41.5703125" style="1" customWidth="1"/>
    <col min="1027" max="1034" width="14.7109375" style="1" customWidth="1"/>
    <col min="1035" max="1035" width="16.7109375" style="1" customWidth="1"/>
    <col min="1036" max="1036" width="10.85546875" style="1" customWidth="1"/>
    <col min="1037" max="1037" width="9.7109375" style="1" customWidth="1"/>
    <col min="1038" max="1280" width="9.140625" style="1"/>
    <col min="1281" max="1281" width="6.7109375" style="1" customWidth="1"/>
    <col min="1282" max="1282" width="41.5703125" style="1" customWidth="1"/>
    <col min="1283" max="1290" width="14.7109375" style="1" customWidth="1"/>
    <col min="1291" max="1291" width="16.7109375" style="1" customWidth="1"/>
    <col min="1292" max="1292" width="10.85546875" style="1" customWidth="1"/>
    <col min="1293" max="1293" width="9.7109375" style="1" customWidth="1"/>
    <col min="1294" max="1536" width="9.140625" style="1"/>
    <col min="1537" max="1537" width="6.7109375" style="1" customWidth="1"/>
    <col min="1538" max="1538" width="41.5703125" style="1" customWidth="1"/>
    <col min="1539" max="1546" width="14.7109375" style="1" customWidth="1"/>
    <col min="1547" max="1547" width="16.7109375" style="1" customWidth="1"/>
    <col min="1548" max="1548" width="10.85546875" style="1" customWidth="1"/>
    <col min="1549" max="1549" width="9.7109375" style="1" customWidth="1"/>
    <col min="1550" max="1792" width="9.140625" style="1"/>
    <col min="1793" max="1793" width="6.7109375" style="1" customWidth="1"/>
    <col min="1794" max="1794" width="41.5703125" style="1" customWidth="1"/>
    <col min="1795" max="1802" width="14.7109375" style="1" customWidth="1"/>
    <col min="1803" max="1803" width="16.7109375" style="1" customWidth="1"/>
    <col min="1804" max="1804" width="10.85546875" style="1" customWidth="1"/>
    <col min="1805" max="1805" width="9.7109375" style="1" customWidth="1"/>
    <col min="1806" max="2048" width="9.140625" style="1"/>
    <col min="2049" max="2049" width="6.7109375" style="1" customWidth="1"/>
    <col min="2050" max="2050" width="41.5703125" style="1" customWidth="1"/>
    <col min="2051" max="2058" width="14.7109375" style="1" customWidth="1"/>
    <col min="2059" max="2059" width="16.7109375" style="1" customWidth="1"/>
    <col min="2060" max="2060" width="10.85546875" style="1" customWidth="1"/>
    <col min="2061" max="2061" width="9.7109375" style="1" customWidth="1"/>
    <col min="2062" max="2304" width="9.140625" style="1"/>
    <col min="2305" max="2305" width="6.7109375" style="1" customWidth="1"/>
    <col min="2306" max="2306" width="41.5703125" style="1" customWidth="1"/>
    <col min="2307" max="2314" width="14.7109375" style="1" customWidth="1"/>
    <col min="2315" max="2315" width="16.7109375" style="1" customWidth="1"/>
    <col min="2316" max="2316" width="10.85546875" style="1" customWidth="1"/>
    <col min="2317" max="2317" width="9.7109375" style="1" customWidth="1"/>
    <col min="2318" max="2560" width="9.140625" style="1"/>
    <col min="2561" max="2561" width="6.7109375" style="1" customWidth="1"/>
    <col min="2562" max="2562" width="41.5703125" style="1" customWidth="1"/>
    <col min="2563" max="2570" width="14.7109375" style="1" customWidth="1"/>
    <col min="2571" max="2571" width="16.7109375" style="1" customWidth="1"/>
    <col min="2572" max="2572" width="10.85546875" style="1" customWidth="1"/>
    <col min="2573" max="2573" width="9.7109375" style="1" customWidth="1"/>
    <col min="2574" max="2816" width="9.140625" style="1"/>
    <col min="2817" max="2817" width="6.7109375" style="1" customWidth="1"/>
    <col min="2818" max="2818" width="41.5703125" style="1" customWidth="1"/>
    <col min="2819" max="2826" width="14.7109375" style="1" customWidth="1"/>
    <col min="2827" max="2827" width="16.7109375" style="1" customWidth="1"/>
    <col min="2828" max="2828" width="10.85546875" style="1" customWidth="1"/>
    <col min="2829" max="2829" width="9.7109375" style="1" customWidth="1"/>
    <col min="2830" max="3072" width="9.140625" style="1"/>
    <col min="3073" max="3073" width="6.7109375" style="1" customWidth="1"/>
    <col min="3074" max="3074" width="41.5703125" style="1" customWidth="1"/>
    <col min="3075" max="3082" width="14.7109375" style="1" customWidth="1"/>
    <col min="3083" max="3083" width="16.7109375" style="1" customWidth="1"/>
    <col min="3084" max="3084" width="10.85546875" style="1" customWidth="1"/>
    <col min="3085" max="3085" width="9.7109375" style="1" customWidth="1"/>
    <col min="3086" max="3328" width="9.140625" style="1"/>
    <col min="3329" max="3329" width="6.7109375" style="1" customWidth="1"/>
    <col min="3330" max="3330" width="41.5703125" style="1" customWidth="1"/>
    <col min="3331" max="3338" width="14.7109375" style="1" customWidth="1"/>
    <col min="3339" max="3339" width="16.7109375" style="1" customWidth="1"/>
    <col min="3340" max="3340" width="10.85546875" style="1" customWidth="1"/>
    <col min="3341" max="3341" width="9.7109375" style="1" customWidth="1"/>
    <col min="3342" max="3584" width="9.140625" style="1"/>
    <col min="3585" max="3585" width="6.7109375" style="1" customWidth="1"/>
    <col min="3586" max="3586" width="41.5703125" style="1" customWidth="1"/>
    <col min="3587" max="3594" width="14.7109375" style="1" customWidth="1"/>
    <col min="3595" max="3595" width="16.7109375" style="1" customWidth="1"/>
    <col min="3596" max="3596" width="10.85546875" style="1" customWidth="1"/>
    <col min="3597" max="3597" width="9.7109375" style="1" customWidth="1"/>
    <col min="3598" max="3840" width="9.140625" style="1"/>
    <col min="3841" max="3841" width="6.7109375" style="1" customWidth="1"/>
    <col min="3842" max="3842" width="41.5703125" style="1" customWidth="1"/>
    <col min="3843" max="3850" width="14.7109375" style="1" customWidth="1"/>
    <col min="3851" max="3851" width="16.7109375" style="1" customWidth="1"/>
    <col min="3852" max="3852" width="10.85546875" style="1" customWidth="1"/>
    <col min="3853" max="3853" width="9.7109375" style="1" customWidth="1"/>
    <col min="3854" max="4096" width="9.140625" style="1"/>
    <col min="4097" max="4097" width="6.7109375" style="1" customWidth="1"/>
    <col min="4098" max="4098" width="41.5703125" style="1" customWidth="1"/>
    <col min="4099" max="4106" width="14.7109375" style="1" customWidth="1"/>
    <col min="4107" max="4107" width="16.7109375" style="1" customWidth="1"/>
    <col min="4108" max="4108" width="10.85546875" style="1" customWidth="1"/>
    <col min="4109" max="4109" width="9.7109375" style="1" customWidth="1"/>
    <col min="4110" max="4352" width="9.140625" style="1"/>
    <col min="4353" max="4353" width="6.7109375" style="1" customWidth="1"/>
    <col min="4354" max="4354" width="41.5703125" style="1" customWidth="1"/>
    <col min="4355" max="4362" width="14.7109375" style="1" customWidth="1"/>
    <col min="4363" max="4363" width="16.7109375" style="1" customWidth="1"/>
    <col min="4364" max="4364" width="10.85546875" style="1" customWidth="1"/>
    <col min="4365" max="4365" width="9.7109375" style="1" customWidth="1"/>
    <col min="4366" max="4608" width="9.140625" style="1"/>
    <col min="4609" max="4609" width="6.7109375" style="1" customWidth="1"/>
    <col min="4610" max="4610" width="41.5703125" style="1" customWidth="1"/>
    <col min="4611" max="4618" width="14.7109375" style="1" customWidth="1"/>
    <col min="4619" max="4619" width="16.7109375" style="1" customWidth="1"/>
    <col min="4620" max="4620" width="10.85546875" style="1" customWidth="1"/>
    <col min="4621" max="4621" width="9.7109375" style="1" customWidth="1"/>
    <col min="4622" max="4864" width="9.140625" style="1"/>
    <col min="4865" max="4865" width="6.7109375" style="1" customWidth="1"/>
    <col min="4866" max="4866" width="41.5703125" style="1" customWidth="1"/>
    <col min="4867" max="4874" width="14.7109375" style="1" customWidth="1"/>
    <col min="4875" max="4875" width="16.7109375" style="1" customWidth="1"/>
    <col min="4876" max="4876" width="10.85546875" style="1" customWidth="1"/>
    <col min="4877" max="4877" width="9.7109375" style="1" customWidth="1"/>
    <col min="4878" max="5120" width="9.140625" style="1"/>
    <col min="5121" max="5121" width="6.7109375" style="1" customWidth="1"/>
    <col min="5122" max="5122" width="41.5703125" style="1" customWidth="1"/>
    <col min="5123" max="5130" width="14.7109375" style="1" customWidth="1"/>
    <col min="5131" max="5131" width="16.7109375" style="1" customWidth="1"/>
    <col min="5132" max="5132" width="10.85546875" style="1" customWidth="1"/>
    <col min="5133" max="5133" width="9.7109375" style="1" customWidth="1"/>
    <col min="5134" max="5376" width="9.140625" style="1"/>
    <col min="5377" max="5377" width="6.7109375" style="1" customWidth="1"/>
    <col min="5378" max="5378" width="41.5703125" style="1" customWidth="1"/>
    <col min="5379" max="5386" width="14.7109375" style="1" customWidth="1"/>
    <col min="5387" max="5387" width="16.7109375" style="1" customWidth="1"/>
    <col min="5388" max="5388" width="10.85546875" style="1" customWidth="1"/>
    <col min="5389" max="5389" width="9.7109375" style="1" customWidth="1"/>
    <col min="5390" max="5632" width="9.140625" style="1"/>
    <col min="5633" max="5633" width="6.7109375" style="1" customWidth="1"/>
    <col min="5634" max="5634" width="41.5703125" style="1" customWidth="1"/>
    <col min="5635" max="5642" width="14.7109375" style="1" customWidth="1"/>
    <col min="5643" max="5643" width="16.7109375" style="1" customWidth="1"/>
    <col min="5644" max="5644" width="10.85546875" style="1" customWidth="1"/>
    <col min="5645" max="5645" width="9.7109375" style="1" customWidth="1"/>
    <col min="5646" max="5888" width="9.140625" style="1"/>
    <col min="5889" max="5889" width="6.7109375" style="1" customWidth="1"/>
    <col min="5890" max="5890" width="41.5703125" style="1" customWidth="1"/>
    <col min="5891" max="5898" width="14.7109375" style="1" customWidth="1"/>
    <col min="5899" max="5899" width="16.7109375" style="1" customWidth="1"/>
    <col min="5900" max="5900" width="10.85546875" style="1" customWidth="1"/>
    <col min="5901" max="5901" width="9.7109375" style="1" customWidth="1"/>
    <col min="5902" max="6144" width="9.140625" style="1"/>
    <col min="6145" max="6145" width="6.7109375" style="1" customWidth="1"/>
    <col min="6146" max="6146" width="41.5703125" style="1" customWidth="1"/>
    <col min="6147" max="6154" width="14.7109375" style="1" customWidth="1"/>
    <col min="6155" max="6155" width="16.7109375" style="1" customWidth="1"/>
    <col min="6156" max="6156" width="10.85546875" style="1" customWidth="1"/>
    <col min="6157" max="6157" width="9.7109375" style="1" customWidth="1"/>
    <col min="6158" max="6400" width="9.140625" style="1"/>
    <col min="6401" max="6401" width="6.7109375" style="1" customWidth="1"/>
    <col min="6402" max="6402" width="41.5703125" style="1" customWidth="1"/>
    <col min="6403" max="6410" width="14.7109375" style="1" customWidth="1"/>
    <col min="6411" max="6411" width="16.7109375" style="1" customWidth="1"/>
    <col min="6412" max="6412" width="10.85546875" style="1" customWidth="1"/>
    <col min="6413" max="6413" width="9.7109375" style="1" customWidth="1"/>
    <col min="6414" max="6656" width="9.140625" style="1"/>
    <col min="6657" max="6657" width="6.7109375" style="1" customWidth="1"/>
    <col min="6658" max="6658" width="41.5703125" style="1" customWidth="1"/>
    <col min="6659" max="6666" width="14.7109375" style="1" customWidth="1"/>
    <col min="6667" max="6667" width="16.7109375" style="1" customWidth="1"/>
    <col min="6668" max="6668" width="10.85546875" style="1" customWidth="1"/>
    <col min="6669" max="6669" width="9.7109375" style="1" customWidth="1"/>
    <col min="6670" max="6912" width="9.140625" style="1"/>
    <col min="6913" max="6913" width="6.7109375" style="1" customWidth="1"/>
    <col min="6914" max="6914" width="41.5703125" style="1" customWidth="1"/>
    <col min="6915" max="6922" width="14.7109375" style="1" customWidth="1"/>
    <col min="6923" max="6923" width="16.7109375" style="1" customWidth="1"/>
    <col min="6924" max="6924" width="10.85546875" style="1" customWidth="1"/>
    <col min="6925" max="6925" width="9.7109375" style="1" customWidth="1"/>
    <col min="6926" max="7168" width="9.140625" style="1"/>
    <col min="7169" max="7169" width="6.7109375" style="1" customWidth="1"/>
    <col min="7170" max="7170" width="41.5703125" style="1" customWidth="1"/>
    <col min="7171" max="7178" width="14.7109375" style="1" customWidth="1"/>
    <col min="7179" max="7179" width="16.7109375" style="1" customWidth="1"/>
    <col min="7180" max="7180" width="10.85546875" style="1" customWidth="1"/>
    <col min="7181" max="7181" width="9.7109375" style="1" customWidth="1"/>
    <col min="7182" max="7424" width="9.140625" style="1"/>
    <col min="7425" max="7425" width="6.7109375" style="1" customWidth="1"/>
    <col min="7426" max="7426" width="41.5703125" style="1" customWidth="1"/>
    <col min="7427" max="7434" width="14.7109375" style="1" customWidth="1"/>
    <col min="7435" max="7435" width="16.7109375" style="1" customWidth="1"/>
    <col min="7436" max="7436" width="10.85546875" style="1" customWidth="1"/>
    <col min="7437" max="7437" width="9.7109375" style="1" customWidth="1"/>
    <col min="7438" max="7680" width="9.140625" style="1"/>
    <col min="7681" max="7681" width="6.7109375" style="1" customWidth="1"/>
    <col min="7682" max="7682" width="41.5703125" style="1" customWidth="1"/>
    <col min="7683" max="7690" width="14.7109375" style="1" customWidth="1"/>
    <col min="7691" max="7691" width="16.7109375" style="1" customWidth="1"/>
    <col min="7692" max="7692" width="10.85546875" style="1" customWidth="1"/>
    <col min="7693" max="7693" width="9.7109375" style="1" customWidth="1"/>
    <col min="7694" max="7936" width="9.140625" style="1"/>
    <col min="7937" max="7937" width="6.7109375" style="1" customWidth="1"/>
    <col min="7938" max="7938" width="41.5703125" style="1" customWidth="1"/>
    <col min="7939" max="7946" width="14.7109375" style="1" customWidth="1"/>
    <col min="7947" max="7947" width="16.7109375" style="1" customWidth="1"/>
    <col min="7948" max="7948" width="10.85546875" style="1" customWidth="1"/>
    <col min="7949" max="7949" width="9.7109375" style="1" customWidth="1"/>
    <col min="7950" max="8192" width="9.140625" style="1"/>
    <col min="8193" max="8193" width="6.7109375" style="1" customWidth="1"/>
    <col min="8194" max="8194" width="41.5703125" style="1" customWidth="1"/>
    <col min="8195" max="8202" width="14.7109375" style="1" customWidth="1"/>
    <col min="8203" max="8203" width="16.7109375" style="1" customWidth="1"/>
    <col min="8204" max="8204" width="10.85546875" style="1" customWidth="1"/>
    <col min="8205" max="8205" width="9.7109375" style="1" customWidth="1"/>
    <col min="8206" max="8448" width="9.140625" style="1"/>
    <col min="8449" max="8449" width="6.7109375" style="1" customWidth="1"/>
    <col min="8450" max="8450" width="41.5703125" style="1" customWidth="1"/>
    <col min="8451" max="8458" width="14.7109375" style="1" customWidth="1"/>
    <col min="8459" max="8459" width="16.7109375" style="1" customWidth="1"/>
    <col min="8460" max="8460" width="10.85546875" style="1" customWidth="1"/>
    <col min="8461" max="8461" width="9.7109375" style="1" customWidth="1"/>
    <col min="8462" max="8704" width="9.140625" style="1"/>
    <col min="8705" max="8705" width="6.7109375" style="1" customWidth="1"/>
    <col min="8706" max="8706" width="41.5703125" style="1" customWidth="1"/>
    <col min="8707" max="8714" width="14.7109375" style="1" customWidth="1"/>
    <col min="8715" max="8715" width="16.7109375" style="1" customWidth="1"/>
    <col min="8716" max="8716" width="10.85546875" style="1" customWidth="1"/>
    <col min="8717" max="8717" width="9.7109375" style="1" customWidth="1"/>
    <col min="8718" max="8960" width="9.140625" style="1"/>
    <col min="8961" max="8961" width="6.7109375" style="1" customWidth="1"/>
    <col min="8962" max="8962" width="41.5703125" style="1" customWidth="1"/>
    <col min="8963" max="8970" width="14.7109375" style="1" customWidth="1"/>
    <col min="8971" max="8971" width="16.7109375" style="1" customWidth="1"/>
    <col min="8972" max="8972" width="10.85546875" style="1" customWidth="1"/>
    <col min="8973" max="8973" width="9.7109375" style="1" customWidth="1"/>
    <col min="8974" max="9216" width="9.140625" style="1"/>
    <col min="9217" max="9217" width="6.7109375" style="1" customWidth="1"/>
    <col min="9218" max="9218" width="41.5703125" style="1" customWidth="1"/>
    <col min="9219" max="9226" width="14.7109375" style="1" customWidth="1"/>
    <col min="9227" max="9227" width="16.7109375" style="1" customWidth="1"/>
    <col min="9228" max="9228" width="10.85546875" style="1" customWidth="1"/>
    <col min="9229" max="9229" width="9.7109375" style="1" customWidth="1"/>
    <col min="9230" max="9472" width="9.140625" style="1"/>
    <col min="9473" max="9473" width="6.7109375" style="1" customWidth="1"/>
    <col min="9474" max="9474" width="41.5703125" style="1" customWidth="1"/>
    <col min="9475" max="9482" width="14.7109375" style="1" customWidth="1"/>
    <col min="9483" max="9483" width="16.7109375" style="1" customWidth="1"/>
    <col min="9484" max="9484" width="10.85546875" style="1" customWidth="1"/>
    <col min="9485" max="9485" width="9.7109375" style="1" customWidth="1"/>
    <col min="9486" max="9728" width="9.140625" style="1"/>
    <col min="9729" max="9729" width="6.7109375" style="1" customWidth="1"/>
    <col min="9730" max="9730" width="41.5703125" style="1" customWidth="1"/>
    <col min="9731" max="9738" width="14.7109375" style="1" customWidth="1"/>
    <col min="9739" max="9739" width="16.7109375" style="1" customWidth="1"/>
    <col min="9740" max="9740" width="10.85546875" style="1" customWidth="1"/>
    <col min="9741" max="9741" width="9.7109375" style="1" customWidth="1"/>
    <col min="9742" max="9984" width="9.140625" style="1"/>
    <col min="9985" max="9985" width="6.7109375" style="1" customWidth="1"/>
    <col min="9986" max="9986" width="41.5703125" style="1" customWidth="1"/>
    <col min="9987" max="9994" width="14.7109375" style="1" customWidth="1"/>
    <col min="9995" max="9995" width="16.7109375" style="1" customWidth="1"/>
    <col min="9996" max="9996" width="10.85546875" style="1" customWidth="1"/>
    <col min="9997" max="9997" width="9.7109375" style="1" customWidth="1"/>
    <col min="9998" max="10240" width="9.140625" style="1"/>
    <col min="10241" max="10241" width="6.7109375" style="1" customWidth="1"/>
    <col min="10242" max="10242" width="41.5703125" style="1" customWidth="1"/>
    <col min="10243" max="10250" width="14.7109375" style="1" customWidth="1"/>
    <col min="10251" max="10251" width="16.7109375" style="1" customWidth="1"/>
    <col min="10252" max="10252" width="10.85546875" style="1" customWidth="1"/>
    <col min="10253" max="10253" width="9.7109375" style="1" customWidth="1"/>
    <col min="10254" max="10496" width="9.140625" style="1"/>
    <col min="10497" max="10497" width="6.7109375" style="1" customWidth="1"/>
    <col min="10498" max="10498" width="41.5703125" style="1" customWidth="1"/>
    <col min="10499" max="10506" width="14.7109375" style="1" customWidth="1"/>
    <col min="10507" max="10507" width="16.7109375" style="1" customWidth="1"/>
    <col min="10508" max="10508" width="10.85546875" style="1" customWidth="1"/>
    <col min="10509" max="10509" width="9.7109375" style="1" customWidth="1"/>
    <col min="10510" max="10752" width="9.140625" style="1"/>
    <col min="10753" max="10753" width="6.7109375" style="1" customWidth="1"/>
    <col min="10754" max="10754" width="41.5703125" style="1" customWidth="1"/>
    <col min="10755" max="10762" width="14.7109375" style="1" customWidth="1"/>
    <col min="10763" max="10763" width="16.7109375" style="1" customWidth="1"/>
    <col min="10764" max="10764" width="10.85546875" style="1" customWidth="1"/>
    <col min="10765" max="10765" width="9.7109375" style="1" customWidth="1"/>
    <col min="10766" max="11008" width="9.140625" style="1"/>
    <col min="11009" max="11009" width="6.7109375" style="1" customWidth="1"/>
    <col min="11010" max="11010" width="41.5703125" style="1" customWidth="1"/>
    <col min="11011" max="11018" width="14.7109375" style="1" customWidth="1"/>
    <col min="11019" max="11019" width="16.7109375" style="1" customWidth="1"/>
    <col min="11020" max="11020" width="10.85546875" style="1" customWidth="1"/>
    <col min="11021" max="11021" width="9.7109375" style="1" customWidth="1"/>
    <col min="11022" max="11264" width="9.140625" style="1"/>
    <col min="11265" max="11265" width="6.7109375" style="1" customWidth="1"/>
    <col min="11266" max="11266" width="41.5703125" style="1" customWidth="1"/>
    <col min="11267" max="11274" width="14.7109375" style="1" customWidth="1"/>
    <col min="11275" max="11275" width="16.7109375" style="1" customWidth="1"/>
    <col min="11276" max="11276" width="10.85546875" style="1" customWidth="1"/>
    <col min="11277" max="11277" width="9.7109375" style="1" customWidth="1"/>
    <col min="11278" max="11520" width="9.140625" style="1"/>
    <col min="11521" max="11521" width="6.7109375" style="1" customWidth="1"/>
    <col min="11522" max="11522" width="41.5703125" style="1" customWidth="1"/>
    <col min="11523" max="11530" width="14.7109375" style="1" customWidth="1"/>
    <col min="11531" max="11531" width="16.7109375" style="1" customWidth="1"/>
    <col min="11532" max="11532" width="10.85546875" style="1" customWidth="1"/>
    <col min="11533" max="11533" width="9.7109375" style="1" customWidth="1"/>
    <col min="11534" max="11776" width="9.140625" style="1"/>
    <col min="11777" max="11777" width="6.7109375" style="1" customWidth="1"/>
    <col min="11778" max="11778" width="41.5703125" style="1" customWidth="1"/>
    <col min="11779" max="11786" width="14.7109375" style="1" customWidth="1"/>
    <col min="11787" max="11787" width="16.7109375" style="1" customWidth="1"/>
    <col min="11788" max="11788" width="10.85546875" style="1" customWidth="1"/>
    <col min="11789" max="11789" width="9.7109375" style="1" customWidth="1"/>
    <col min="11790" max="12032" width="9.140625" style="1"/>
    <col min="12033" max="12033" width="6.7109375" style="1" customWidth="1"/>
    <col min="12034" max="12034" width="41.5703125" style="1" customWidth="1"/>
    <col min="12035" max="12042" width="14.7109375" style="1" customWidth="1"/>
    <col min="12043" max="12043" width="16.7109375" style="1" customWidth="1"/>
    <col min="12044" max="12044" width="10.85546875" style="1" customWidth="1"/>
    <col min="12045" max="12045" width="9.7109375" style="1" customWidth="1"/>
    <col min="12046" max="12288" width="9.140625" style="1"/>
    <col min="12289" max="12289" width="6.7109375" style="1" customWidth="1"/>
    <col min="12290" max="12290" width="41.5703125" style="1" customWidth="1"/>
    <col min="12291" max="12298" width="14.7109375" style="1" customWidth="1"/>
    <col min="12299" max="12299" width="16.7109375" style="1" customWidth="1"/>
    <col min="12300" max="12300" width="10.85546875" style="1" customWidth="1"/>
    <col min="12301" max="12301" width="9.7109375" style="1" customWidth="1"/>
    <col min="12302" max="12544" width="9.140625" style="1"/>
    <col min="12545" max="12545" width="6.7109375" style="1" customWidth="1"/>
    <col min="12546" max="12546" width="41.5703125" style="1" customWidth="1"/>
    <col min="12547" max="12554" width="14.7109375" style="1" customWidth="1"/>
    <col min="12555" max="12555" width="16.7109375" style="1" customWidth="1"/>
    <col min="12556" max="12556" width="10.85546875" style="1" customWidth="1"/>
    <col min="12557" max="12557" width="9.7109375" style="1" customWidth="1"/>
    <col min="12558" max="12800" width="9.140625" style="1"/>
    <col min="12801" max="12801" width="6.7109375" style="1" customWidth="1"/>
    <col min="12802" max="12802" width="41.5703125" style="1" customWidth="1"/>
    <col min="12803" max="12810" width="14.7109375" style="1" customWidth="1"/>
    <col min="12811" max="12811" width="16.7109375" style="1" customWidth="1"/>
    <col min="12812" max="12812" width="10.85546875" style="1" customWidth="1"/>
    <col min="12813" max="12813" width="9.7109375" style="1" customWidth="1"/>
    <col min="12814" max="13056" width="9.140625" style="1"/>
    <col min="13057" max="13057" width="6.7109375" style="1" customWidth="1"/>
    <col min="13058" max="13058" width="41.5703125" style="1" customWidth="1"/>
    <col min="13059" max="13066" width="14.7109375" style="1" customWidth="1"/>
    <col min="13067" max="13067" width="16.7109375" style="1" customWidth="1"/>
    <col min="13068" max="13068" width="10.85546875" style="1" customWidth="1"/>
    <col min="13069" max="13069" width="9.7109375" style="1" customWidth="1"/>
    <col min="13070" max="13312" width="9.140625" style="1"/>
    <col min="13313" max="13313" width="6.7109375" style="1" customWidth="1"/>
    <col min="13314" max="13314" width="41.5703125" style="1" customWidth="1"/>
    <col min="13315" max="13322" width="14.7109375" style="1" customWidth="1"/>
    <col min="13323" max="13323" width="16.7109375" style="1" customWidth="1"/>
    <col min="13324" max="13324" width="10.85546875" style="1" customWidth="1"/>
    <col min="13325" max="13325" width="9.7109375" style="1" customWidth="1"/>
    <col min="13326" max="13568" width="9.140625" style="1"/>
    <col min="13569" max="13569" width="6.7109375" style="1" customWidth="1"/>
    <col min="13570" max="13570" width="41.5703125" style="1" customWidth="1"/>
    <col min="13571" max="13578" width="14.7109375" style="1" customWidth="1"/>
    <col min="13579" max="13579" width="16.7109375" style="1" customWidth="1"/>
    <col min="13580" max="13580" width="10.85546875" style="1" customWidth="1"/>
    <col min="13581" max="13581" width="9.7109375" style="1" customWidth="1"/>
    <col min="13582" max="13824" width="9.140625" style="1"/>
    <col min="13825" max="13825" width="6.7109375" style="1" customWidth="1"/>
    <col min="13826" max="13826" width="41.5703125" style="1" customWidth="1"/>
    <col min="13827" max="13834" width="14.7109375" style="1" customWidth="1"/>
    <col min="13835" max="13835" width="16.7109375" style="1" customWidth="1"/>
    <col min="13836" max="13836" width="10.85546875" style="1" customWidth="1"/>
    <col min="13837" max="13837" width="9.7109375" style="1" customWidth="1"/>
    <col min="13838" max="14080" width="9.140625" style="1"/>
    <col min="14081" max="14081" width="6.7109375" style="1" customWidth="1"/>
    <col min="14082" max="14082" width="41.5703125" style="1" customWidth="1"/>
    <col min="14083" max="14090" width="14.7109375" style="1" customWidth="1"/>
    <col min="14091" max="14091" width="16.7109375" style="1" customWidth="1"/>
    <col min="14092" max="14092" width="10.85546875" style="1" customWidth="1"/>
    <col min="14093" max="14093" width="9.7109375" style="1" customWidth="1"/>
    <col min="14094" max="14336" width="9.140625" style="1"/>
    <col min="14337" max="14337" width="6.7109375" style="1" customWidth="1"/>
    <col min="14338" max="14338" width="41.5703125" style="1" customWidth="1"/>
    <col min="14339" max="14346" width="14.7109375" style="1" customWidth="1"/>
    <col min="14347" max="14347" width="16.7109375" style="1" customWidth="1"/>
    <col min="14348" max="14348" width="10.85546875" style="1" customWidth="1"/>
    <col min="14349" max="14349" width="9.7109375" style="1" customWidth="1"/>
    <col min="14350" max="14592" width="9.140625" style="1"/>
    <col min="14593" max="14593" width="6.7109375" style="1" customWidth="1"/>
    <col min="14594" max="14594" width="41.5703125" style="1" customWidth="1"/>
    <col min="14595" max="14602" width="14.7109375" style="1" customWidth="1"/>
    <col min="14603" max="14603" width="16.7109375" style="1" customWidth="1"/>
    <col min="14604" max="14604" width="10.85546875" style="1" customWidth="1"/>
    <col min="14605" max="14605" width="9.7109375" style="1" customWidth="1"/>
    <col min="14606" max="14848" width="9.140625" style="1"/>
    <col min="14849" max="14849" width="6.7109375" style="1" customWidth="1"/>
    <col min="14850" max="14850" width="41.5703125" style="1" customWidth="1"/>
    <col min="14851" max="14858" width="14.7109375" style="1" customWidth="1"/>
    <col min="14859" max="14859" width="16.7109375" style="1" customWidth="1"/>
    <col min="14860" max="14860" width="10.85546875" style="1" customWidth="1"/>
    <col min="14861" max="14861" width="9.7109375" style="1" customWidth="1"/>
    <col min="14862" max="15104" width="9.140625" style="1"/>
    <col min="15105" max="15105" width="6.7109375" style="1" customWidth="1"/>
    <col min="15106" max="15106" width="41.5703125" style="1" customWidth="1"/>
    <col min="15107" max="15114" width="14.7109375" style="1" customWidth="1"/>
    <col min="15115" max="15115" width="16.7109375" style="1" customWidth="1"/>
    <col min="15116" max="15116" width="10.85546875" style="1" customWidth="1"/>
    <col min="15117" max="15117" width="9.7109375" style="1" customWidth="1"/>
    <col min="15118" max="15360" width="9.140625" style="1"/>
    <col min="15361" max="15361" width="6.7109375" style="1" customWidth="1"/>
    <col min="15362" max="15362" width="41.5703125" style="1" customWidth="1"/>
    <col min="15363" max="15370" width="14.7109375" style="1" customWidth="1"/>
    <col min="15371" max="15371" width="16.7109375" style="1" customWidth="1"/>
    <col min="15372" max="15372" width="10.85546875" style="1" customWidth="1"/>
    <col min="15373" max="15373" width="9.7109375" style="1" customWidth="1"/>
    <col min="15374" max="15616" width="9.140625" style="1"/>
    <col min="15617" max="15617" width="6.7109375" style="1" customWidth="1"/>
    <col min="15618" max="15618" width="41.5703125" style="1" customWidth="1"/>
    <col min="15619" max="15626" width="14.7109375" style="1" customWidth="1"/>
    <col min="15627" max="15627" width="16.7109375" style="1" customWidth="1"/>
    <col min="15628" max="15628" width="10.85546875" style="1" customWidth="1"/>
    <col min="15629" max="15629" width="9.7109375" style="1" customWidth="1"/>
    <col min="15630" max="15872" width="9.140625" style="1"/>
    <col min="15873" max="15873" width="6.7109375" style="1" customWidth="1"/>
    <col min="15874" max="15874" width="41.5703125" style="1" customWidth="1"/>
    <col min="15875" max="15882" width="14.7109375" style="1" customWidth="1"/>
    <col min="15883" max="15883" width="16.7109375" style="1" customWidth="1"/>
    <col min="15884" max="15884" width="10.85546875" style="1" customWidth="1"/>
    <col min="15885" max="15885" width="9.7109375" style="1" customWidth="1"/>
    <col min="15886" max="16128" width="9.140625" style="1"/>
    <col min="16129" max="16129" width="6.7109375" style="1" customWidth="1"/>
    <col min="16130" max="16130" width="41.5703125" style="1" customWidth="1"/>
    <col min="16131" max="16138" width="14.7109375" style="1" customWidth="1"/>
    <col min="16139" max="16139" width="16.7109375" style="1" customWidth="1"/>
    <col min="16140" max="16140" width="10.85546875" style="1" customWidth="1"/>
    <col min="16141" max="16141" width="9.7109375" style="1" customWidth="1"/>
    <col min="16142" max="16384" width="9.140625" style="1"/>
  </cols>
  <sheetData>
    <row r="1" spans="1:22" ht="15" customHeight="1" x14ac:dyDescent="0.25">
      <c r="M1" s="6"/>
    </row>
    <row r="2" spans="1:22" ht="20.100000000000001" customHeight="1" x14ac:dyDescent="0.35">
      <c r="A2" s="1303" t="s">
        <v>508</v>
      </c>
      <c r="B2" s="1196"/>
      <c r="C2" s="1196"/>
      <c r="D2" s="1196"/>
      <c r="E2" s="1196"/>
      <c r="F2" s="1196"/>
      <c r="G2" s="1196"/>
      <c r="H2" s="1196"/>
      <c r="I2" s="1196"/>
      <c r="J2" s="1196"/>
      <c r="K2" s="1196"/>
      <c r="L2" s="1196"/>
      <c r="M2" s="1304"/>
    </row>
    <row r="3" spans="1:22" ht="15" customHeight="1" x14ac:dyDescent="0.2"/>
    <row r="4" spans="1:22" ht="20.100000000000001" customHeight="1" x14ac:dyDescent="0.3">
      <c r="A4" s="7" t="s">
        <v>275</v>
      </c>
      <c r="L4" s="8"/>
    </row>
    <row r="5" spans="1:22" ht="15" customHeight="1" thickBot="1" x14ac:dyDescent="0.35">
      <c r="A5" s="7"/>
      <c r="M5" s="8" t="s">
        <v>0</v>
      </c>
    </row>
    <row r="6" spans="1:22" s="62" customFormat="1" ht="15.95" customHeight="1" x14ac:dyDescent="0.15">
      <c r="A6" s="1305" t="s">
        <v>88</v>
      </c>
      <c r="B6" s="1421" t="s">
        <v>103</v>
      </c>
      <c r="C6" s="1198" t="s">
        <v>365</v>
      </c>
      <c r="D6" s="1199"/>
      <c r="E6" s="1198" t="s">
        <v>440</v>
      </c>
      <c r="F6" s="1202"/>
      <c r="G6" s="1199"/>
      <c r="H6" s="1307" t="s">
        <v>507</v>
      </c>
      <c r="I6" s="1308"/>
      <c r="J6" s="1308"/>
      <c r="K6" s="1309"/>
      <c r="L6" s="1310" t="s">
        <v>509</v>
      </c>
      <c r="M6" s="1312" t="s">
        <v>510</v>
      </c>
    </row>
    <row r="7" spans="1:22" s="62" customFormat="1" ht="27.75" customHeight="1" thickBot="1" x14ac:dyDescent="0.2">
      <c r="A7" s="1306"/>
      <c r="B7" s="1422"/>
      <c r="C7" s="177" t="s">
        <v>108</v>
      </c>
      <c r="D7" s="178" t="s">
        <v>126</v>
      </c>
      <c r="E7" s="264" t="s">
        <v>109</v>
      </c>
      <c r="F7" s="265" t="s">
        <v>589</v>
      </c>
      <c r="G7" s="266" t="s">
        <v>591</v>
      </c>
      <c r="H7" s="824" t="s">
        <v>124</v>
      </c>
      <c r="I7" s="825" t="s">
        <v>125</v>
      </c>
      <c r="J7" s="826" t="s">
        <v>314</v>
      </c>
      <c r="K7" s="821" t="s">
        <v>85</v>
      </c>
      <c r="L7" s="1311"/>
      <c r="M7" s="1313"/>
    </row>
    <row r="8" spans="1:22" s="9" customFormat="1" ht="20.100000000000001" customHeight="1" thickBot="1" x14ac:dyDescent="0.3">
      <c r="B8" s="10" t="s">
        <v>104</v>
      </c>
      <c r="C8" s="11"/>
      <c r="D8" s="12"/>
      <c r="E8" s="11"/>
      <c r="F8" s="13"/>
      <c r="G8" s="13"/>
      <c r="H8" s="13"/>
      <c r="I8" s="13"/>
      <c r="J8" s="13"/>
      <c r="K8" s="268"/>
      <c r="L8" s="16"/>
      <c r="M8" s="16"/>
    </row>
    <row r="9" spans="1:22" s="19" customFormat="1" ht="20.100000000000001" customHeight="1" x14ac:dyDescent="0.25">
      <c r="A9" s="491">
        <v>6172</v>
      </c>
      <c r="B9" s="596" t="s">
        <v>340</v>
      </c>
      <c r="C9" s="436">
        <v>15000</v>
      </c>
      <c r="D9" s="437">
        <v>1263.1300000000001</v>
      </c>
      <c r="E9" s="497">
        <v>5076</v>
      </c>
      <c r="F9" s="439">
        <v>4554.34</v>
      </c>
      <c r="G9" s="554">
        <v>490.79</v>
      </c>
      <c r="H9" s="436">
        <v>1200</v>
      </c>
      <c r="I9" s="520">
        <v>200</v>
      </c>
      <c r="J9" s="976">
        <v>100</v>
      </c>
      <c r="K9" s="961">
        <f>SUM(H9:J9)</f>
        <v>1500</v>
      </c>
      <c r="L9" s="441">
        <f t="shared" ref="L9" si="0">K9/E9*100</f>
        <v>29.550827423167846</v>
      </c>
      <c r="M9" s="442">
        <f>K9/F9*100</f>
        <v>32.935617454998969</v>
      </c>
      <c r="N9" s="1163"/>
      <c r="O9" s="1163"/>
      <c r="P9" s="1163"/>
      <c r="Q9" s="1163"/>
      <c r="R9" s="1163"/>
      <c r="S9" s="1163"/>
      <c r="T9" s="1163"/>
      <c r="U9" s="1163"/>
      <c r="V9" s="1163"/>
    </row>
    <row r="10" spans="1:22" s="19" customFormat="1" ht="30" customHeight="1" x14ac:dyDescent="0.25">
      <c r="A10" s="489">
        <v>6172</v>
      </c>
      <c r="B10" s="885" t="s">
        <v>482</v>
      </c>
      <c r="C10" s="445">
        <v>0</v>
      </c>
      <c r="D10" s="446">
        <v>29.04</v>
      </c>
      <c r="E10" s="567">
        <v>0</v>
      </c>
      <c r="F10" s="449">
        <v>0</v>
      </c>
      <c r="G10" s="657">
        <v>0</v>
      </c>
      <c r="H10" s="445">
        <v>0</v>
      </c>
      <c r="I10" s="447">
        <v>0</v>
      </c>
      <c r="J10" s="1006">
        <v>0</v>
      </c>
      <c r="K10" s="962">
        <f t="shared" ref="K10:K16" si="1">SUM(H10:J10)</f>
        <v>0</v>
      </c>
      <c r="L10" s="459" t="s">
        <v>60</v>
      </c>
      <c r="M10" s="460" t="s">
        <v>60</v>
      </c>
      <c r="N10" s="1163"/>
      <c r="O10" s="1163"/>
      <c r="P10" s="1163"/>
      <c r="Q10" s="1163"/>
      <c r="R10" s="1163"/>
      <c r="S10" s="1163"/>
      <c r="T10" s="1163"/>
      <c r="U10" s="1163"/>
      <c r="V10" s="1163"/>
    </row>
    <row r="11" spans="1:22" s="19" customFormat="1" ht="30" customHeight="1" x14ac:dyDescent="0.25">
      <c r="A11" s="489">
        <v>6172</v>
      </c>
      <c r="B11" s="885" t="s">
        <v>503</v>
      </c>
      <c r="C11" s="445">
        <v>0</v>
      </c>
      <c r="D11" s="446">
        <v>0</v>
      </c>
      <c r="E11" s="567">
        <v>10000</v>
      </c>
      <c r="F11" s="449">
        <v>0</v>
      </c>
      <c r="G11" s="657">
        <v>0</v>
      </c>
      <c r="H11" s="445">
        <v>4000</v>
      </c>
      <c r="I11" s="447">
        <v>700</v>
      </c>
      <c r="J11" s="1006">
        <v>300</v>
      </c>
      <c r="K11" s="962">
        <f t="shared" si="1"/>
        <v>5000</v>
      </c>
      <c r="L11" s="459">
        <f t="shared" ref="L11:L13" si="2">K11/E11*100</f>
        <v>50</v>
      </c>
      <c r="M11" s="460" t="s">
        <v>60</v>
      </c>
      <c r="N11" s="1163"/>
      <c r="O11" s="1163"/>
      <c r="P11" s="1163"/>
      <c r="Q11" s="1163"/>
      <c r="R11" s="1163"/>
      <c r="S11" s="1163"/>
      <c r="T11" s="1163"/>
      <c r="U11" s="1163"/>
      <c r="V11" s="1163"/>
    </row>
    <row r="12" spans="1:22" s="19" customFormat="1" ht="20.100000000000001" customHeight="1" x14ac:dyDescent="0.25">
      <c r="A12" s="489">
        <v>6172</v>
      </c>
      <c r="B12" s="885" t="s">
        <v>502</v>
      </c>
      <c r="C12" s="445">
        <v>0</v>
      </c>
      <c r="D12" s="446">
        <v>0</v>
      </c>
      <c r="E12" s="567">
        <v>73</v>
      </c>
      <c r="F12" s="449">
        <v>478.5</v>
      </c>
      <c r="G12" s="657">
        <v>313.39</v>
      </c>
      <c r="H12" s="445">
        <v>1300</v>
      </c>
      <c r="I12" s="447">
        <v>100</v>
      </c>
      <c r="J12" s="1006">
        <v>96</v>
      </c>
      <c r="K12" s="962">
        <f t="shared" si="1"/>
        <v>1496</v>
      </c>
      <c r="L12" s="611">
        <f t="shared" si="2"/>
        <v>2049.3150684931506</v>
      </c>
      <c r="M12" s="612">
        <f t="shared" ref="M12:M14" si="3">K12/F12*100</f>
        <v>312.64367816091954</v>
      </c>
      <c r="N12" s="1163"/>
      <c r="O12" s="1163"/>
      <c r="P12" s="1163"/>
      <c r="Q12" s="1163"/>
      <c r="R12" s="1163"/>
      <c r="S12" s="1163"/>
      <c r="T12" s="1163"/>
      <c r="U12" s="1163"/>
      <c r="V12" s="1163"/>
    </row>
    <row r="13" spans="1:22" s="19" customFormat="1" ht="20.100000000000001" customHeight="1" x14ac:dyDescent="0.25">
      <c r="A13" s="489">
        <v>6172</v>
      </c>
      <c r="B13" s="885" t="s">
        <v>467</v>
      </c>
      <c r="C13" s="445">
        <v>0</v>
      </c>
      <c r="D13" s="446">
        <v>1</v>
      </c>
      <c r="E13" s="567">
        <v>1</v>
      </c>
      <c r="F13" s="449">
        <v>1</v>
      </c>
      <c r="G13" s="657">
        <v>1</v>
      </c>
      <c r="H13" s="445">
        <v>104</v>
      </c>
      <c r="I13" s="447">
        <v>0</v>
      </c>
      <c r="J13" s="1006">
        <v>0</v>
      </c>
      <c r="K13" s="1007">
        <f t="shared" si="1"/>
        <v>104</v>
      </c>
      <c r="L13" s="611">
        <f t="shared" si="2"/>
        <v>10400</v>
      </c>
      <c r="M13" s="612">
        <f t="shared" si="3"/>
        <v>10400</v>
      </c>
      <c r="N13" s="1164"/>
      <c r="O13" s="1163"/>
      <c r="P13" s="1163"/>
      <c r="Q13" s="1163"/>
      <c r="R13" s="1163"/>
      <c r="S13" s="1163"/>
      <c r="T13" s="1163"/>
      <c r="U13" s="1163"/>
      <c r="V13" s="1163"/>
    </row>
    <row r="14" spans="1:22" s="19" customFormat="1" ht="20.100000000000001" customHeight="1" x14ac:dyDescent="0.25">
      <c r="A14" s="489">
        <v>6172</v>
      </c>
      <c r="B14" s="885" t="s">
        <v>521</v>
      </c>
      <c r="C14" s="445">
        <v>0</v>
      </c>
      <c r="D14" s="446">
        <v>0</v>
      </c>
      <c r="E14" s="567">
        <v>0</v>
      </c>
      <c r="F14" s="449">
        <v>116.16</v>
      </c>
      <c r="G14" s="657">
        <v>116.16</v>
      </c>
      <c r="H14" s="445">
        <v>0</v>
      </c>
      <c r="I14" s="447">
        <v>0</v>
      </c>
      <c r="J14" s="1006">
        <v>0</v>
      </c>
      <c r="K14" s="1007">
        <f t="shared" si="1"/>
        <v>0</v>
      </c>
      <c r="L14" s="459" t="s">
        <v>60</v>
      </c>
      <c r="M14" s="460">
        <f t="shared" si="3"/>
        <v>0</v>
      </c>
      <c r="N14" s="1164"/>
      <c r="O14" s="1163"/>
      <c r="P14" s="1163"/>
      <c r="Q14" s="1163"/>
      <c r="R14" s="1163"/>
      <c r="S14" s="1163"/>
      <c r="T14" s="1163"/>
      <c r="U14" s="1163"/>
      <c r="V14" s="1163"/>
    </row>
    <row r="15" spans="1:22" s="19" customFormat="1" ht="20.100000000000001" customHeight="1" x14ac:dyDescent="0.25">
      <c r="A15" s="489">
        <v>6172</v>
      </c>
      <c r="B15" s="885" t="s">
        <v>512</v>
      </c>
      <c r="C15" s="445">
        <v>0</v>
      </c>
      <c r="D15" s="446">
        <v>45.95</v>
      </c>
      <c r="E15" s="567">
        <v>0</v>
      </c>
      <c r="F15" s="449">
        <v>0</v>
      </c>
      <c r="G15" s="657">
        <v>0</v>
      </c>
      <c r="H15" s="445">
        <v>0</v>
      </c>
      <c r="I15" s="447">
        <v>0</v>
      </c>
      <c r="J15" s="1006">
        <v>0</v>
      </c>
      <c r="K15" s="1007">
        <f t="shared" ref="K15" si="4">SUM(H15:J15)</f>
        <v>0</v>
      </c>
      <c r="L15" s="459" t="s">
        <v>60</v>
      </c>
      <c r="M15" s="460" t="s">
        <v>60</v>
      </c>
      <c r="N15" s="1164"/>
      <c r="O15" s="1163"/>
      <c r="P15" s="1163"/>
      <c r="Q15" s="1163"/>
      <c r="R15" s="1163"/>
      <c r="S15" s="1163"/>
      <c r="T15" s="1163"/>
      <c r="U15" s="1163"/>
      <c r="V15" s="1163"/>
    </row>
    <row r="16" spans="1:22" s="19" customFormat="1" ht="20.100000000000001" customHeight="1" thickBot="1" x14ac:dyDescent="0.3">
      <c r="A16" s="1187">
        <v>6172</v>
      </c>
      <c r="B16" s="1165" t="s">
        <v>441</v>
      </c>
      <c r="C16" s="1166">
        <v>0</v>
      </c>
      <c r="D16" s="1167">
        <v>36.43</v>
      </c>
      <c r="E16" s="1168">
        <v>0</v>
      </c>
      <c r="F16" s="1169">
        <v>0</v>
      </c>
      <c r="G16" s="1170">
        <v>0</v>
      </c>
      <c r="H16" s="1166">
        <v>0</v>
      </c>
      <c r="I16" s="1171">
        <v>0</v>
      </c>
      <c r="J16" s="1172">
        <v>0</v>
      </c>
      <c r="K16" s="980">
        <f t="shared" si="1"/>
        <v>0</v>
      </c>
      <c r="L16" s="1161" t="s">
        <v>60</v>
      </c>
      <c r="M16" s="1162" t="s">
        <v>60</v>
      </c>
      <c r="N16" s="1163"/>
      <c r="O16" s="1163"/>
      <c r="P16" s="1163"/>
      <c r="Q16" s="1163"/>
      <c r="R16" s="1163"/>
      <c r="S16" s="1163"/>
      <c r="T16" s="1163"/>
      <c r="U16" s="1163"/>
      <c r="V16" s="1163"/>
    </row>
    <row r="17" spans="1:14" s="19" customFormat="1" ht="16.5" thickBot="1" x14ac:dyDescent="0.3">
      <c r="A17" s="204"/>
      <c r="B17" s="401" t="s">
        <v>85</v>
      </c>
      <c r="C17" s="181">
        <f>SUM(C9:C16)</f>
        <v>15000</v>
      </c>
      <c r="D17" s="182">
        <f t="shared" ref="D17:K17" si="5">SUM(D9:D16)</f>
        <v>1375.5500000000002</v>
      </c>
      <c r="E17" s="181">
        <f t="shared" si="5"/>
        <v>15150</v>
      </c>
      <c r="F17" s="183">
        <f t="shared" si="5"/>
        <v>5150</v>
      </c>
      <c r="G17" s="182">
        <f t="shared" si="5"/>
        <v>921.34</v>
      </c>
      <c r="H17" s="181">
        <f t="shared" si="5"/>
        <v>6604</v>
      </c>
      <c r="I17" s="956">
        <f t="shared" si="5"/>
        <v>1000</v>
      </c>
      <c r="J17" s="1029">
        <f t="shared" si="5"/>
        <v>496</v>
      </c>
      <c r="K17" s="981">
        <f t="shared" si="5"/>
        <v>8100</v>
      </c>
      <c r="L17" s="188">
        <f>K17/E17*100</f>
        <v>53.46534653465347</v>
      </c>
      <c r="M17" s="189">
        <f>K17/F17*100</f>
        <v>157.28155339805824</v>
      </c>
      <c r="N17" s="18"/>
    </row>
    <row r="18" spans="1:14" ht="15" x14ac:dyDescent="0.25">
      <c r="A18" s="20"/>
      <c r="B18" s="20"/>
      <c r="C18" s="168"/>
      <c r="D18" s="167"/>
      <c r="E18" s="168"/>
      <c r="F18" s="170"/>
      <c r="G18" s="170"/>
      <c r="H18" s="170"/>
      <c r="I18" s="170"/>
      <c r="J18" s="170"/>
      <c r="K18" s="170"/>
      <c r="L18" s="24"/>
      <c r="M18" s="25"/>
      <c r="N18" s="17"/>
    </row>
    <row r="19" spans="1:14" ht="15" x14ac:dyDescent="0.25">
      <c r="A19" s="20"/>
      <c r="B19" s="20"/>
      <c r="C19" s="167"/>
      <c r="D19" s="167"/>
      <c r="E19" s="167"/>
      <c r="F19" s="167"/>
      <c r="G19" s="167"/>
      <c r="H19" s="167"/>
      <c r="I19" s="167"/>
      <c r="J19" s="167"/>
      <c r="K19" s="167"/>
      <c r="L19" s="1156"/>
      <c r="M19" s="25"/>
      <c r="N19" s="17"/>
    </row>
    <row r="20" spans="1:14" ht="15" x14ac:dyDescent="0.25">
      <c r="A20" s="20"/>
      <c r="B20" s="20"/>
      <c r="C20" s="21"/>
      <c r="D20" s="22"/>
      <c r="E20" s="21"/>
      <c r="F20" s="23"/>
      <c r="G20" s="23"/>
      <c r="H20" s="23"/>
      <c r="I20" s="23"/>
      <c r="J20" s="23"/>
      <c r="K20" s="23"/>
      <c r="L20" s="24"/>
      <c r="M20" s="25"/>
      <c r="N20" s="17"/>
    </row>
    <row r="21" spans="1:14" x14ac:dyDescent="0.2">
      <c r="A21" s="29"/>
    </row>
    <row r="22" spans="1:14" x14ac:dyDescent="0.2">
      <c r="A22" s="29"/>
    </row>
    <row r="23" spans="1:14" x14ac:dyDescent="0.2">
      <c r="A23" s="29"/>
    </row>
    <row r="25" spans="1:14" x14ac:dyDescent="0.2">
      <c r="A25" s="29"/>
    </row>
    <row r="26" spans="1:14" x14ac:dyDescent="0.2">
      <c r="A26" s="29"/>
    </row>
    <row r="32" spans="1:14" x14ac:dyDescent="0.2">
      <c r="A32" s="97"/>
    </row>
  </sheetData>
  <mergeCells count="8">
    <mergeCell ref="A2:M2"/>
    <mergeCell ref="A6:A7"/>
    <mergeCell ref="C6:D6"/>
    <mergeCell ref="E6:G6"/>
    <mergeCell ref="H6:K6"/>
    <mergeCell ref="L6:L7"/>
    <mergeCell ref="M6:M7"/>
    <mergeCell ref="B6:B7"/>
  </mergeCells>
  <pageMargins left="0.70866141732283472" right="0.70866141732283472" top="0.78740157480314965" bottom="0.78740157480314965" header="0.31496062992125984" footer="0.31496062992125984"/>
  <pageSetup paperSize="9" scale="61"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ageSetUpPr fitToPage="1"/>
  </sheetPr>
  <dimension ref="A1:S37"/>
  <sheetViews>
    <sheetView workbookViewId="0"/>
  </sheetViews>
  <sheetFormatPr defaultColWidth="9.140625" defaultRowHeight="12.75" x14ac:dyDescent="0.2"/>
  <cols>
    <col min="1" max="1" width="37.85546875" style="29" customWidth="1"/>
    <col min="2" max="2" width="13.7109375" style="40" customWidth="1"/>
    <col min="3" max="3" width="15.140625" style="31" customWidth="1"/>
    <col min="4" max="4" width="14.7109375" style="31" customWidth="1"/>
    <col min="5" max="5" width="14.28515625" style="31" customWidth="1"/>
    <col min="6" max="6" width="13.7109375" style="40" customWidth="1"/>
    <col min="7" max="8" width="15.5703125" style="31" customWidth="1"/>
    <col min="9" max="9" width="13.7109375" style="31" customWidth="1"/>
    <col min="10" max="10" width="13.7109375" style="40" customWidth="1"/>
    <col min="11" max="12" width="14.7109375" style="31" customWidth="1"/>
    <col min="13" max="13" width="13.7109375" style="31" customWidth="1"/>
    <col min="14" max="14" width="15" style="29" customWidth="1"/>
    <col min="15" max="15" width="15" style="31" customWidth="1"/>
    <col min="16" max="16" width="15" style="29" customWidth="1"/>
    <col min="17" max="17" width="13.7109375" style="29" customWidth="1"/>
    <col min="18" max="16384" width="9.140625" style="29"/>
  </cols>
  <sheetData>
    <row r="1" spans="1:19" ht="15" customHeight="1" x14ac:dyDescent="0.2"/>
    <row r="2" spans="1:19" ht="20.100000000000001" customHeight="1" x14ac:dyDescent="0.35">
      <c r="A2" s="27" t="s">
        <v>506</v>
      </c>
      <c r="B2" s="58"/>
      <c r="C2" s="59"/>
      <c r="D2" s="59"/>
    </row>
    <row r="3" spans="1:19" ht="15" customHeight="1" x14ac:dyDescent="0.2"/>
    <row r="4" spans="1:19" ht="20.100000000000001" customHeight="1" x14ac:dyDescent="0.3">
      <c r="A4" s="39" t="s">
        <v>504</v>
      </c>
      <c r="B4" s="792"/>
      <c r="C4" s="792"/>
      <c r="D4" s="792"/>
      <c r="E4" s="830"/>
      <c r="F4" s="792"/>
      <c r="G4" s="792"/>
      <c r="H4" s="792"/>
      <c r="I4" s="830"/>
      <c r="J4" s="792"/>
      <c r="K4" s="792"/>
      <c r="L4" s="792"/>
      <c r="M4" s="830"/>
      <c r="N4" s="792"/>
      <c r="O4" s="792"/>
      <c r="P4" s="792"/>
      <c r="Q4" s="792"/>
    </row>
    <row r="5" spans="1:19" ht="15" customHeight="1" x14ac:dyDescent="0.3">
      <c r="A5" s="39"/>
      <c r="B5" s="60"/>
      <c r="C5" s="61"/>
      <c r="D5" s="61"/>
    </row>
    <row r="6" spans="1:19" ht="15" customHeight="1" thickBot="1" x14ac:dyDescent="0.3">
      <c r="Q6" s="45" t="s">
        <v>0</v>
      </c>
    </row>
    <row r="7" spans="1:19" ht="25.5" customHeight="1" x14ac:dyDescent="0.2">
      <c r="A7" s="1447" t="s">
        <v>25</v>
      </c>
      <c r="B7" s="1440" t="s">
        <v>86</v>
      </c>
      <c r="C7" s="1441"/>
      <c r="D7" s="1441"/>
      <c r="E7" s="1442"/>
      <c r="F7" s="1443" t="s">
        <v>413</v>
      </c>
      <c r="G7" s="1444"/>
      <c r="H7" s="1444"/>
      <c r="I7" s="1445"/>
      <c r="J7" s="1443" t="s">
        <v>384</v>
      </c>
      <c r="K7" s="1444"/>
      <c r="L7" s="1444"/>
      <c r="M7" s="1445"/>
      <c r="N7" s="1446" t="s">
        <v>87</v>
      </c>
      <c r="O7" s="1444"/>
      <c r="P7" s="1444"/>
      <c r="Q7" s="1445"/>
      <c r="S7" s="31"/>
    </row>
    <row r="8" spans="1:19" ht="24.75" customHeight="1" x14ac:dyDescent="0.2">
      <c r="A8" s="1448"/>
      <c r="B8" s="1450" t="s">
        <v>440</v>
      </c>
      <c r="C8" s="1451"/>
      <c r="D8" s="1451"/>
      <c r="E8" s="1452" t="s">
        <v>507</v>
      </c>
      <c r="F8" s="1450" t="s">
        <v>440</v>
      </c>
      <c r="G8" s="1451"/>
      <c r="H8" s="1451"/>
      <c r="I8" s="1452" t="s">
        <v>507</v>
      </c>
      <c r="J8" s="1450" t="s">
        <v>440</v>
      </c>
      <c r="K8" s="1451"/>
      <c r="L8" s="1451"/>
      <c r="M8" s="1452" t="s">
        <v>507</v>
      </c>
      <c r="N8" s="1450" t="s">
        <v>440</v>
      </c>
      <c r="O8" s="1451"/>
      <c r="P8" s="1451"/>
      <c r="Q8" s="1452" t="s">
        <v>507</v>
      </c>
      <c r="S8" s="31"/>
    </row>
    <row r="9" spans="1:19" ht="30" customHeight="1" thickBot="1" x14ac:dyDescent="0.25">
      <c r="A9" s="1449"/>
      <c r="B9" s="141" t="s">
        <v>108</v>
      </c>
      <c r="C9" s="142" t="s">
        <v>589</v>
      </c>
      <c r="D9" s="143" t="s">
        <v>590</v>
      </c>
      <c r="E9" s="1453"/>
      <c r="F9" s="141" t="s">
        <v>108</v>
      </c>
      <c r="G9" s="142" t="s">
        <v>589</v>
      </c>
      <c r="H9" s="143" t="s">
        <v>590</v>
      </c>
      <c r="I9" s="1453"/>
      <c r="J9" s="141" t="s">
        <v>108</v>
      </c>
      <c r="K9" s="142" t="s">
        <v>589</v>
      </c>
      <c r="L9" s="143" t="s">
        <v>590</v>
      </c>
      <c r="M9" s="1453"/>
      <c r="N9" s="141" t="s">
        <v>108</v>
      </c>
      <c r="O9" s="142" t="s">
        <v>589</v>
      </c>
      <c r="P9" s="143" t="s">
        <v>590</v>
      </c>
      <c r="Q9" s="1453"/>
      <c r="S9" s="31"/>
    </row>
    <row r="10" spans="1:19" ht="20.25" customHeight="1" x14ac:dyDescent="0.25">
      <c r="A10" s="109" t="s">
        <v>26</v>
      </c>
      <c r="B10" s="757">
        <f>+'01'!F21</f>
        <v>78132</v>
      </c>
      <c r="C10" s="759">
        <f>+'01'!G21</f>
        <v>95104.859999999986</v>
      </c>
      <c r="D10" s="759">
        <f>+'01'!H21</f>
        <v>46359.420000000006</v>
      </c>
      <c r="E10" s="922">
        <f>+'01'!L21</f>
        <v>75132</v>
      </c>
      <c r="F10" s="949">
        <v>0</v>
      </c>
      <c r="G10" s="950">
        <v>0</v>
      </c>
      <c r="H10" s="950">
        <v>0</v>
      </c>
      <c r="I10" s="924">
        <v>0</v>
      </c>
      <c r="J10" s="139">
        <f>+'01'!F14</f>
        <v>45500</v>
      </c>
      <c r="K10" s="140">
        <f>+'01'!G14</f>
        <v>56590.38</v>
      </c>
      <c r="L10" s="169">
        <f>+'01'!H14</f>
        <v>28828.45</v>
      </c>
      <c r="M10" s="924">
        <f>+'01'!L14</f>
        <v>45500</v>
      </c>
      <c r="N10" s="369">
        <v>0</v>
      </c>
      <c r="O10" s="140">
        <v>0</v>
      </c>
      <c r="P10" s="140">
        <v>0</v>
      </c>
      <c r="Q10" s="924">
        <v>0</v>
      </c>
      <c r="R10" s="31"/>
      <c r="S10" s="31"/>
    </row>
    <row r="11" spans="1:19" ht="20.25" customHeight="1" x14ac:dyDescent="0.25">
      <c r="A11" s="108" t="s">
        <v>27</v>
      </c>
      <c r="B11" s="137">
        <f>+'02'!F25</f>
        <v>86609</v>
      </c>
      <c r="C11" s="138">
        <f>+'02'!G25</f>
        <v>89007.22</v>
      </c>
      <c r="D11" s="138">
        <f>+'02'!H25</f>
        <v>43016.91</v>
      </c>
      <c r="E11" s="839">
        <f>+'02'!L25</f>
        <v>85155</v>
      </c>
      <c r="F11" s="949">
        <f>+'02'!F20</f>
        <v>14002</v>
      </c>
      <c r="G11" s="950">
        <f>+'02'!G20</f>
        <v>14002</v>
      </c>
      <c r="H11" s="950">
        <f>+'02'!H20</f>
        <v>7667.8</v>
      </c>
      <c r="I11" s="925">
        <f>+'02'!L20</f>
        <v>14002</v>
      </c>
      <c r="J11" s="139">
        <v>0</v>
      </c>
      <c r="K11" s="140">
        <v>0</v>
      </c>
      <c r="L11" s="169">
        <v>0</v>
      </c>
      <c r="M11" s="925">
        <v>0</v>
      </c>
      <c r="N11" s="369">
        <f>+'02'!F19</f>
        <v>17489</v>
      </c>
      <c r="O11" s="140">
        <f>+'02'!G19</f>
        <v>13147</v>
      </c>
      <c r="P11" s="140">
        <f>+'02'!H19</f>
        <v>5798.23</v>
      </c>
      <c r="Q11" s="925">
        <f>+'02'!L19</f>
        <v>12987</v>
      </c>
      <c r="R11" s="31"/>
      <c r="S11" s="31"/>
    </row>
    <row r="12" spans="1:19" ht="20.25" customHeight="1" x14ac:dyDescent="0.25">
      <c r="A12" s="108" t="s">
        <v>28</v>
      </c>
      <c r="B12" s="137">
        <f>+'03'!F12</f>
        <v>60874</v>
      </c>
      <c r="C12" s="138">
        <f>+'03'!G12</f>
        <v>62870.86</v>
      </c>
      <c r="D12" s="138">
        <f>+'03'!H12</f>
        <v>41799.380000000005</v>
      </c>
      <c r="E12" s="839">
        <f>+'03'!L12</f>
        <v>63074</v>
      </c>
      <c r="F12" s="949">
        <v>0</v>
      </c>
      <c r="G12" s="950">
        <v>0</v>
      </c>
      <c r="H12" s="950">
        <v>0</v>
      </c>
      <c r="I12" s="925">
        <v>0</v>
      </c>
      <c r="J12" s="139">
        <v>0</v>
      </c>
      <c r="K12" s="140">
        <v>0</v>
      </c>
      <c r="L12" s="169">
        <v>0</v>
      </c>
      <c r="M12" s="925">
        <v>0</v>
      </c>
      <c r="N12" s="369">
        <f>+'03'!F11</f>
        <v>250</v>
      </c>
      <c r="O12" s="140">
        <f>+'03'!G11</f>
        <v>152.81</v>
      </c>
      <c r="P12" s="140">
        <f>+'03'!H11</f>
        <v>2.81</v>
      </c>
      <c r="Q12" s="925">
        <f>+'03'!L11</f>
        <v>200</v>
      </c>
      <c r="R12" s="31"/>
      <c r="S12" s="31"/>
    </row>
    <row r="13" spans="1:19" ht="20.25" customHeight="1" x14ac:dyDescent="0.25">
      <c r="A13" s="108" t="s">
        <v>29</v>
      </c>
      <c r="B13" s="137">
        <f>+'04'!F23</f>
        <v>2847322</v>
      </c>
      <c r="C13" s="138">
        <f>+'04'!G23</f>
        <v>3303555.71</v>
      </c>
      <c r="D13" s="138">
        <f>+'04'!H23</f>
        <v>2828081.09</v>
      </c>
      <c r="E13" s="839">
        <f>+'04'!L23</f>
        <v>2912822</v>
      </c>
      <c r="F13" s="949">
        <f>+'04'!F13</f>
        <v>4350</v>
      </c>
      <c r="G13" s="950">
        <f>+'04'!G13</f>
        <v>4350</v>
      </c>
      <c r="H13" s="950">
        <f>+'04'!H13</f>
        <v>3262.5</v>
      </c>
      <c r="I13" s="925">
        <f>+'04'!L13</f>
        <v>4350</v>
      </c>
      <c r="J13" s="139">
        <f>+'04'!F14</f>
        <v>154837</v>
      </c>
      <c r="K13" s="140">
        <f>+'04'!G14</f>
        <v>154837</v>
      </c>
      <c r="L13" s="140">
        <f>+'04'!H14</f>
        <v>115200</v>
      </c>
      <c r="M13" s="925">
        <f>+'04'!L14</f>
        <v>158337</v>
      </c>
      <c r="N13" s="369">
        <f>+'04'!F11+'04'!F15+'04'!F18</f>
        <v>2540630</v>
      </c>
      <c r="O13" s="140">
        <f>+'04'!G11+'04'!G15+'04'!G18</f>
        <v>2993590.8899999997</v>
      </c>
      <c r="P13" s="140">
        <f>+'04'!H11+'04'!H15+'04'!H18</f>
        <v>2608462.41</v>
      </c>
      <c r="Q13" s="925">
        <f>+'04'!L11+'04'!L15+'04'!L18+'04'!L16+'04'!L17</f>
        <v>2597630</v>
      </c>
      <c r="R13" s="31"/>
      <c r="S13" s="31"/>
    </row>
    <row r="14" spans="1:19" ht="20.25" customHeight="1" x14ac:dyDescent="0.25">
      <c r="A14" s="108" t="s">
        <v>95</v>
      </c>
      <c r="B14" s="137">
        <f>+'05'!F110</f>
        <v>1170643</v>
      </c>
      <c r="C14" s="138">
        <f>+'05'!G110</f>
        <v>1183334.17</v>
      </c>
      <c r="D14" s="138">
        <f>+'05'!H110</f>
        <v>755275.23999999987</v>
      </c>
      <c r="E14" s="839">
        <f>+'05'!L110</f>
        <v>1121143</v>
      </c>
      <c r="F14" s="949">
        <f>+'05'!F25</f>
        <v>354199</v>
      </c>
      <c r="G14" s="950">
        <f>+'05'!G25</f>
        <v>354199</v>
      </c>
      <c r="H14" s="950">
        <f>+'05'!H25</f>
        <v>204665.59</v>
      </c>
      <c r="I14" s="925">
        <f>+'05'!L25</f>
        <v>250000</v>
      </c>
      <c r="J14" s="139">
        <f>+'05'!D24+'05'!F76</f>
        <v>28451</v>
      </c>
      <c r="K14" s="140">
        <f>+'05'!E24+'05'!G76</f>
        <v>35112.75</v>
      </c>
      <c r="L14" s="169">
        <f>+'05'!F24+'05'!H76</f>
        <v>34794.720000000001</v>
      </c>
      <c r="M14" s="925">
        <f>+'05'!L76</f>
        <v>28451</v>
      </c>
      <c r="N14" s="369">
        <f>+'05'!F22+'05'!F48</f>
        <v>102000</v>
      </c>
      <c r="O14" s="140">
        <f>+'05'!G22+'05'!G48</f>
        <v>112076.97</v>
      </c>
      <c r="P14" s="140">
        <f>+'05'!H22+'05'!H48</f>
        <v>52634.87</v>
      </c>
      <c r="Q14" s="925">
        <f>+'05'!L48+'05'!L22</f>
        <v>102000</v>
      </c>
      <c r="R14" s="31"/>
      <c r="S14" s="31"/>
    </row>
    <row r="15" spans="1:19" ht="20.25" customHeight="1" x14ac:dyDescent="0.25">
      <c r="A15" s="108" t="s">
        <v>30</v>
      </c>
      <c r="B15" s="137">
        <f>+'06'!F78</f>
        <v>548576</v>
      </c>
      <c r="C15" s="138">
        <f>+'06'!G78</f>
        <v>572792.78100000008</v>
      </c>
      <c r="D15" s="138">
        <f>+'06'!H78</f>
        <v>411015.72799999994</v>
      </c>
      <c r="E15" s="839">
        <f>+'06'!L78</f>
        <v>592503</v>
      </c>
      <c r="F15" s="949">
        <f>+'06'!F20+'06'!F27+'06'!F48+'06'!F75</f>
        <v>40307</v>
      </c>
      <c r="G15" s="950">
        <f>+'06'!G20+'06'!G27+'06'!G48+'06'!G75</f>
        <v>40415.32</v>
      </c>
      <c r="H15" s="950">
        <f>+'06'!H20+'06'!H27+'06'!H48+'06'!H75</f>
        <v>30338.519999999997</v>
      </c>
      <c r="I15" s="925">
        <f>+'06'!L20+'06'!L27+'06'!L48+'06'!L75</f>
        <v>40238</v>
      </c>
      <c r="J15" s="139">
        <f>+'06'!F21+'06'!F28+'06'!F49+'06'!F76</f>
        <v>348561</v>
      </c>
      <c r="K15" s="169">
        <f>+'06'!G21+'06'!G28+'06'!G49+'06'!G76</f>
        <v>353854.35</v>
      </c>
      <c r="L15" s="169">
        <f>+'06'!H21+'06'!H28+'06'!H49+'06'!H76</f>
        <v>264692.81</v>
      </c>
      <c r="M15" s="925">
        <f>+'06'!L21+'06'!L28+'06'!L49+'06'!L76</f>
        <v>382010</v>
      </c>
      <c r="N15" s="369">
        <f>+'06'!F18+'06'!F25+'06'!F46+'06'!F73+'06'!F50</f>
        <v>13732</v>
      </c>
      <c r="O15" s="140">
        <f>+'06'!G18+'06'!G25+'06'!G46+'06'!G73+'06'!G50</f>
        <v>14897.869999999999</v>
      </c>
      <c r="P15" s="140">
        <f>+'06'!H18+'06'!H25+'06'!H46+'06'!H73+'06'!H50</f>
        <v>11814.13</v>
      </c>
      <c r="Q15" s="925">
        <f>+'06'!L18+'06'!L25+'06'!L46+'06'!L50+'06'!L73</f>
        <v>15134</v>
      </c>
      <c r="R15" s="31"/>
      <c r="S15" s="31"/>
    </row>
    <row r="16" spans="1:19" ht="20.25" customHeight="1" x14ac:dyDescent="0.25">
      <c r="A16" s="108" t="s">
        <v>240</v>
      </c>
      <c r="B16" s="137">
        <f>+'07'!F23</f>
        <v>815772</v>
      </c>
      <c r="C16" s="138">
        <f>+'07'!G23</f>
        <v>857765.02999999991</v>
      </c>
      <c r="D16" s="138">
        <f>+'07'!H23</f>
        <v>669701.57000000007</v>
      </c>
      <c r="E16" s="839">
        <f>+'07'!L23</f>
        <v>755013</v>
      </c>
      <c r="F16" s="949">
        <f>+'07'!F14+'07'!F19</f>
        <v>16139</v>
      </c>
      <c r="G16" s="950">
        <f>+'07'!G14+'07'!G19</f>
        <v>17131.07</v>
      </c>
      <c r="H16" s="950">
        <f>+'07'!H14+'07'!H19</f>
        <v>13096.09</v>
      </c>
      <c r="I16" s="925">
        <f>+'07'!L14+'07'!L19</f>
        <v>13634</v>
      </c>
      <c r="J16" s="139">
        <f>+'07'!F15+'07'!F20</f>
        <v>706785</v>
      </c>
      <c r="K16" s="169">
        <f>+'07'!G15+'07'!G20</f>
        <v>745914.06</v>
      </c>
      <c r="L16" s="169">
        <f>+'07'!H15+'07'!H20</f>
        <v>569532.30999999994</v>
      </c>
      <c r="M16" s="925">
        <f>+'07'!L15+'07'!L20</f>
        <v>678395</v>
      </c>
      <c r="N16" s="369">
        <f>+'07'!F12+'07'!F17</f>
        <v>2931</v>
      </c>
      <c r="O16" s="140">
        <f>+'07'!G12+'07'!G17</f>
        <v>2731</v>
      </c>
      <c r="P16" s="140">
        <f>+'07'!H12+'07'!H17</f>
        <v>2048.04</v>
      </c>
      <c r="Q16" s="925">
        <f>+'07'!L12</f>
        <v>900</v>
      </c>
      <c r="R16" s="31"/>
      <c r="S16" s="31"/>
    </row>
    <row r="17" spans="1:19" ht="20.25" customHeight="1" x14ac:dyDescent="0.25">
      <c r="A17" s="108" t="s">
        <v>32</v>
      </c>
      <c r="B17" s="137">
        <f>+'08'!F21</f>
        <v>17218</v>
      </c>
      <c r="C17" s="138">
        <f>+'08'!G21</f>
        <v>23163.07</v>
      </c>
      <c r="D17" s="138">
        <f>+'08'!H21</f>
        <v>8136.29</v>
      </c>
      <c r="E17" s="839">
        <f>+'08'!L21</f>
        <v>22650</v>
      </c>
      <c r="F17" s="949">
        <v>0</v>
      </c>
      <c r="G17" s="950">
        <v>0</v>
      </c>
      <c r="H17" s="950">
        <v>0</v>
      </c>
      <c r="I17" s="925">
        <v>0</v>
      </c>
      <c r="J17" s="139">
        <v>0</v>
      </c>
      <c r="K17" s="140">
        <v>0</v>
      </c>
      <c r="L17" s="169">
        <v>0</v>
      </c>
      <c r="M17" s="925">
        <v>0</v>
      </c>
      <c r="N17" s="369">
        <v>0</v>
      </c>
      <c r="O17" s="140">
        <v>0</v>
      </c>
      <c r="P17" s="140">
        <v>0</v>
      </c>
      <c r="Q17" s="925">
        <v>0</v>
      </c>
      <c r="R17" s="31"/>
      <c r="S17" s="31"/>
    </row>
    <row r="18" spans="1:19" ht="20.25" customHeight="1" x14ac:dyDescent="0.25">
      <c r="A18" s="108" t="s">
        <v>33</v>
      </c>
      <c r="B18" s="137">
        <f>+'09'!F30</f>
        <v>76451</v>
      </c>
      <c r="C18" s="138">
        <f>+'09'!G30</f>
        <v>82948.349999999991</v>
      </c>
      <c r="D18" s="138">
        <f>+'09'!H30</f>
        <v>69947.64</v>
      </c>
      <c r="E18" s="839">
        <f>+'09'!L30</f>
        <v>77399</v>
      </c>
      <c r="F18" s="949">
        <f>+'09'!F16</f>
        <v>276</v>
      </c>
      <c r="G18" s="950">
        <f>+'09'!G16</f>
        <v>276</v>
      </c>
      <c r="H18" s="950">
        <f>+'09'!H16</f>
        <v>207</v>
      </c>
      <c r="I18" s="925">
        <f>+'09'!L16</f>
        <v>192</v>
      </c>
      <c r="J18" s="139">
        <f>+'09'!F17</f>
        <v>23092</v>
      </c>
      <c r="K18" s="140">
        <f>+'09'!G17</f>
        <v>23092</v>
      </c>
      <c r="L18" s="169">
        <f>+'09'!H17</f>
        <v>17318.97</v>
      </c>
      <c r="M18" s="925">
        <f>+'09'!L17</f>
        <v>23310</v>
      </c>
      <c r="N18" s="369">
        <f>+'09'!F14+'09'!F12</f>
        <v>48</v>
      </c>
      <c r="O18" s="140">
        <f>+'09'!G14+'09'!G12</f>
        <v>529.20000000000005</v>
      </c>
      <c r="P18" s="140">
        <f>+'09'!H14+'09'!H12</f>
        <v>67.5</v>
      </c>
      <c r="Q18" s="925">
        <f>+'09'!L14</f>
        <v>48</v>
      </c>
      <c r="R18" s="31"/>
      <c r="S18" s="31"/>
    </row>
    <row r="19" spans="1:19" ht="20.25" customHeight="1" x14ac:dyDescent="0.25">
      <c r="A19" s="108" t="s">
        <v>34</v>
      </c>
      <c r="B19" s="137">
        <f>+'10'!F24</f>
        <v>47471</v>
      </c>
      <c r="C19" s="138">
        <f>+'10'!G24</f>
        <v>61893.56</v>
      </c>
      <c r="D19" s="138">
        <f>+'10'!H24</f>
        <v>24786.190000000002</v>
      </c>
      <c r="E19" s="839">
        <f>+'10'!L24</f>
        <v>56471</v>
      </c>
      <c r="F19" s="949">
        <v>0</v>
      </c>
      <c r="G19" s="950">
        <v>0</v>
      </c>
      <c r="H19" s="950">
        <v>0</v>
      </c>
      <c r="I19" s="925">
        <v>0</v>
      </c>
      <c r="J19" s="139">
        <v>0</v>
      </c>
      <c r="K19" s="140">
        <v>0</v>
      </c>
      <c r="L19" s="169">
        <v>0</v>
      </c>
      <c r="M19" s="925">
        <v>0</v>
      </c>
      <c r="N19" s="369">
        <f>+'10'!F20</f>
        <v>200</v>
      </c>
      <c r="O19" s="140">
        <f>+'10'!G20</f>
        <v>200</v>
      </c>
      <c r="P19" s="140">
        <f>+'10'!H20</f>
        <v>0</v>
      </c>
      <c r="Q19" s="925">
        <f>+'10'!L20</f>
        <v>200</v>
      </c>
      <c r="R19" s="31"/>
      <c r="S19" s="31"/>
    </row>
    <row r="20" spans="1:19" ht="20.25" customHeight="1" x14ac:dyDescent="0.25">
      <c r="A20" s="108" t="s">
        <v>35</v>
      </c>
      <c r="B20" s="137">
        <f>+'11'!F35</f>
        <v>20340</v>
      </c>
      <c r="C20" s="138">
        <f>+'11'!G35</f>
        <v>78582.799999999988</v>
      </c>
      <c r="D20" s="138">
        <f>+'11'!H35</f>
        <v>29881.48</v>
      </c>
      <c r="E20" s="839">
        <f>+'11'!L35</f>
        <v>24340</v>
      </c>
      <c r="F20" s="949">
        <f>+'11'!F18+'11'!F29</f>
        <v>8940</v>
      </c>
      <c r="G20" s="950">
        <f>+'11'!G18+'11'!G29</f>
        <v>13439.9</v>
      </c>
      <c r="H20" s="950">
        <f>+'11'!H18+'11'!H29</f>
        <v>6669.08</v>
      </c>
      <c r="I20" s="925">
        <f>+'11'!L18+'11'!L29</f>
        <v>8940</v>
      </c>
      <c r="J20" s="139">
        <v>0</v>
      </c>
      <c r="K20" s="140">
        <v>0</v>
      </c>
      <c r="L20" s="169">
        <v>0</v>
      </c>
      <c r="M20" s="925">
        <v>0</v>
      </c>
      <c r="N20" s="369">
        <f>+'11'!F17+'11'!F28</f>
        <v>1770</v>
      </c>
      <c r="O20" s="140">
        <f>+'11'!G17+'11'!G28</f>
        <v>18480.04</v>
      </c>
      <c r="P20" s="140">
        <f>+'11'!H17+'11'!H28</f>
        <v>11095.53</v>
      </c>
      <c r="Q20" s="925">
        <f>+'11'!L17+'11'!L28</f>
        <v>1770</v>
      </c>
      <c r="R20" s="31"/>
      <c r="S20" s="31"/>
    </row>
    <row r="21" spans="1:19" ht="20.25" customHeight="1" x14ac:dyDescent="0.25">
      <c r="A21" s="108" t="s">
        <v>36</v>
      </c>
      <c r="B21" s="137">
        <f>+'13'!E37</f>
        <v>4000</v>
      </c>
      <c r="C21" s="138">
        <f>+'13'!F37</f>
        <v>3623.75</v>
      </c>
      <c r="D21" s="138">
        <f>+'13'!G37</f>
        <v>1021.1899999999999</v>
      </c>
      <c r="E21" s="839">
        <f>+'13'!K37</f>
        <v>2700</v>
      </c>
      <c r="F21" s="949">
        <v>0</v>
      </c>
      <c r="G21" s="950">
        <v>0</v>
      </c>
      <c r="H21" s="950">
        <v>0</v>
      </c>
      <c r="I21" s="925">
        <v>0</v>
      </c>
      <c r="J21" s="139">
        <v>0</v>
      </c>
      <c r="K21" s="140">
        <v>0</v>
      </c>
      <c r="L21" s="169">
        <v>0</v>
      </c>
      <c r="M21" s="925">
        <v>0</v>
      </c>
      <c r="N21" s="369">
        <v>0</v>
      </c>
      <c r="O21" s="140">
        <v>0</v>
      </c>
      <c r="P21" s="140">
        <v>0</v>
      </c>
      <c r="Q21" s="925">
        <v>0</v>
      </c>
      <c r="R21" s="31"/>
      <c r="S21" s="31"/>
    </row>
    <row r="22" spans="1:19" ht="20.25" customHeight="1" x14ac:dyDescent="0.25">
      <c r="A22" s="108" t="s">
        <v>54</v>
      </c>
      <c r="B22" s="137">
        <f>+'14'!F25</f>
        <v>743459</v>
      </c>
      <c r="C22" s="138">
        <f>+'14'!G25</f>
        <v>744999</v>
      </c>
      <c r="D22" s="138">
        <f>+'14'!H25</f>
        <v>474004.03000000009</v>
      </c>
      <c r="E22" s="839">
        <f>+'14'!L25</f>
        <v>763980</v>
      </c>
      <c r="F22" s="949">
        <v>0</v>
      </c>
      <c r="G22" s="950">
        <v>0</v>
      </c>
      <c r="H22" s="950">
        <v>0</v>
      </c>
      <c r="I22" s="925">
        <f>+'14'!P22</f>
        <v>0</v>
      </c>
      <c r="J22" s="139">
        <f>+'14'!F22</f>
        <v>699830</v>
      </c>
      <c r="K22" s="140">
        <f>+'14'!G22</f>
        <v>699515</v>
      </c>
      <c r="L22" s="169">
        <f>+'14'!H22</f>
        <v>447204.04</v>
      </c>
      <c r="M22" s="925">
        <f>+'14'!L22</f>
        <v>722929</v>
      </c>
      <c r="N22" s="369">
        <v>0</v>
      </c>
      <c r="O22" s="140">
        <v>0</v>
      </c>
      <c r="P22" s="140">
        <v>0</v>
      </c>
      <c r="Q22" s="925">
        <v>0</v>
      </c>
      <c r="R22" s="31"/>
      <c r="S22" s="31"/>
    </row>
    <row r="23" spans="1:19" ht="20.25" customHeight="1" x14ac:dyDescent="0.25">
      <c r="A23" s="113" t="s">
        <v>81</v>
      </c>
      <c r="B23" s="137">
        <f>+'15'!E10</f>
        <v>1422</v>
      </c>
      <c r="C23" s="138">
        <f>+'15'!F10</f>
        <v>4078.6</v>
      </c>
      <c r="D23" s="138">
        <f>+'15'!G10</f>
        <v>1733.53</v>
      </c>
      <c r="E23" s="839">
        <f>+'15'!K10</f>
        <v>1543</v>
      </c>
      <c r="F23" s="949">
        <v>0</v>
      </c>
      <c r="G23" s="950">
        <v>0</v>
      </c>
      <c r="H23" s="950">
        <v>0</v>
      </c>
      <c r="I23" s="925">
        <v>0</v>
      </c>
      <c r="J23" s="139">
        <v>0</v>
      </c>
      <c r="K23" s="140">
        <v>0</v>
      </c>
      <c r="L23" s="169">
        <v>0</v>
      </c>
      <c r="M23" s="925">
        <v>0</v>
      </c>
      <c r="N23" s="369">
        <v>0</v>
      </c>
      <c r="O23" s="140">
        <v>0</v>
      </c>
      <c r="P23" s="140">
        <v>0</v>
      </c>
      <c r="Q23" s="925">
        <v>0</v>
      </c>
      <c r="R23" s="31"/>
      <c r="S23" s="31"/>
    </row>
    <row r="24" spans="1:19" ht="20.25" customHeight="1" x14ac:dyDescent="0.25">
      <c r="A24" s="108" t="s">
        <v>55</v>
      </c>
      <c r="B24" s="137">
        <f>+'16'!E10</f>
        <v>100</v>
      </c>
      <c r="C24" s="138">
        <f>+'16'!F10</f>
        <v>47.02</v>
      </c>
      <c r="D24" s="138">
        <f>+'16'!G10</f>
        <v>0</v>
      </c>
      <c r="E24" s="839">
        <f>+'16'!K10</f>
        <v>100</v>
      </c>
      <c r="F24" s="949">
        <v>0</v>
      </c>
      <c r="G24" s="950">
        <v>0</v>
      </c>
      <c r="H24" s="950">
        <v>0</v>
      </c>
      <c r="I24" s="925">
        <v>0</v>
      </c>
      <c r="J24" s="139">
        <v>0</v>
      </c>
      <c r="K24" s="140">
        <v>0</v>
      </c>
      <c r="L24" s="169">
        <v>0</v>
      </c>
      <c r="M24" s="925">
        <v>0</v>
      </c>
      <c r="N24" s="369">
        <v>0</v>
      </c>
      <c r="O24" s="140">
        <v>0</v>
      </c>
      <c r="P24" s="140">
        <v>0</v>
      </c>
      <c r="Q24" s="925">
        <v>0</v>
      </c>
      <c r="R24" s="31"/>
      <c r="S24" s="31"/>
    </row>
    <row r="25" spans="1:19" ht="20.25" customHeight="1" x14ac:dyDescent="0.25">
      <c r="A25" s="108" t="s">
        <v>37</v>
      </c>
      <c r="B25" s="137">
        <f>+'17'!F123</f>
        <v>535445</v>
      </c>
      <c r="C25" s="138">
        <f>+'17'!G123</f>
        <v>621103.03999999992</v>
      </c>
      <c r="D25" s="138">
        <f>+'17'!H123</f>
        <v>482426.69</v>
      </c>
      <c r="E25" s="839">
        <f>+'17'!L123</f>
        <v>540445</v>
      </c>
      <c r="F25" s="949">
        <f>+'17'!F12+'17'!F20+'17'!F26+'17'!F32+'17'!F37+'17'!F42+'17'!F47+'17'!F52+'17'!F57+'17'!F63+'17'!F68+'17'!F73+'17'!F78+'17'!F83</f>
        <v>90965</v>
      </c>
      <c r="G25" s="950">
        <f>+'17'!G12+'17'!G20+'17'!G26+'17'!G32+'17'!G37+'17'!G42+'17'!G47+'17'!G52+'17'!G57+'17'!G63+'17'!G68+'17'!G73+'17'!G78+'17'!G83</f>
        <v>90965</v>
      </c>
      <c r="H25" s="950">
        <f>+'17'!H12+'17'!H20+'17'!H26+'17'!H32+'17'!H37+'17'!H42+'17'!H47+'17'!H52+'17'!H57+'17'!H63+'17'!H68+'17'!H73+'17'!H78+'17'!H83</f>
        <v>11484.049999999997</v>
      </c>
      <c r="I25" s="925">
        <f>+'17'!L12+'17'!L20+'17'!L26+'17'!L32+'17'!L37+'17'!L42+'17'!L47+'17'!L52+'17'!L57+'17'!L63+'17'!L68+'17'!L73+'17'!L78+'17'!L83</f>
        <v>40000</v>
      </c>
      <c r="J25" s="139">
        <f>+'17'!F13+'17'!F21+'17'!F27+'17'!F33+'17'!F38+'17'!F43+'17'!F48+'17'!F53+'17'!F58+'17'!F64+'17'!F69+'17'!F74+'17'!F79+'17'!F84</f>
        <v>269320</v>
      </c>
      <c r="K25" s="169">
        <f>+'17'!G13+'17'!G21+'17'!G27+'17'!G33+'17'!G38+'17'!G43+'17'!G48+'17'!G53+'17'!G58+'17'!G64+'17'!G69+'17'!G74+'17'!G79+'17'!G84</f>
        <v>272271.58999999997</v>
      </c>
      <c r="L25" s="169">
        <f>+'17'!H13+'17'!H21+'17'!H27+'17'!H33+'17'!H38+'17'!H43+'17'!H48+'17'!H53+'17'!H58+'17'!H64+'17'!H69+'17'!H74+'17'!H79+'17'!H84</f>
        <v>235311.58000000002</v>
      </c>
      <c r="M25" s="925">
        <f>+'17'!L84+'17'!L79+'17'!L74+'17'!L69+'17'!L64+'17'!L58+'17'!L53+'17'!L48+'17'!L43+'17'!L38+'17'!L33+'17'!L27+'17'!L21+'17'!L13</f>
        <v>296701</v>
      </c>
      <c r="N25" s="369">
        <f>+'17'!F10+'17'!F18+'17'!F24+'17'!F30+'17'!F35+'17'!F40+'17'!F45+'17'!F50+'17'!F55+'17'!F61+'17'!F66+'17'!F71+'17'!F76+'17'!F81+'17'!F117</f>
        <v>51260</v>
      </c>
      <c r="O25" s="140">
        <f>+'17'!G10+'17'!G18+'17'!G24+'17'!G30+'17'!G35+'17'!G40+'17'!G45+'17'!G50+'17'!G55+'17'!G61+'17'!G66+'17'!G71+'17'!G76+'17'!G81+'17'!G117</f>
        <v>50887.83</v>
      </c>
      <c r="P25" s="140">
        <f>+'17'!H10+'17'!H18+'17'!H24+'17'!H30+'17'!H35+'17'!H40+'17'!H45+'17'!H50+'17'!H55+'17'!H61+'17'!H66+'17'!H71+'17'!H76+'17'!H81+'17'!H117</f>
        <v>46651.33</v>
      </c>
      <c r="Q25" s="925">
        <f>+'17'!L10+'17'!L18+'17'!L24+'17'!L30+'17'!L35+'17'!L40+'17'!L45+'17'!L50+'17'!L55+'17'!L61+'17'!L66+'17'!L71+'17'!L76+'17'!L81+'17'!L117</f>
        <v>80531</v>
      </c>
      <c r="R25" s="31"/>
      <c r="S25" s="31"/>
    </row>
    <row r="26" spans="1:19" ht="20.25" customHeight="1" x14ac:dyDescent="0.25">
      <c r="A26" s="113" t="s">
        <v>82</v>
      </c>
      <c r="B26" s="137">
        <f>+'18'!E18</f>
        <v>3984</v>
      </c>
      <c r="C26" s="138">
        <f>+'18'!F18</f>
        <v>5602</v>
      </c>
      <c r="D26" s="138">
        <f>+'18'!G18</f>
        <v>3184.6499999999996</v>
      </c>
      <c r="E26" s="839">
        <f>+'18'!K18</f>
        <v>3984</v>
      </c>
      <c r="F26" s="949">
        <v>0</v>
      </c>
      <c r="G26" s="950">
        <v>0</v>
      </c>
      <c r="H26" s="950">
        <v>0</v>
      </c>
      <c r="I26" s="925">
        <v>0</v>
      </c>
      <c r="J26" s="139">
        <v>0</v>
      </c>
      <c r="K26" s="140">
        <v>0</v>
      </c>
      <c r="L26" s="169">
        <v>0</v>
      </c>
      <c r="M26" s="925">
        <v>0</v>
      </c>
      <c r="N26" s="369">
        <v>0</v>
      </c>
      <c r="O26" s="140">
        <v>0</v>
      </c>
      <c r="P26" s="140">
        <v>0</v>
      </c>
      <c r="Q26" s="925">
        <v>0</v>
      </c>
      <c r="R26" s="31"/>
      <c r="S26" s="31"/>
    </row>
    <row r="27" spans="1:19" ht="20.25" customHeight="1" x14ac:dyDescent="0.25">
      <c r="A27" s="113" t="s">
        <v>66</v>
      </c>
      <c r="B27" s="137">
        <f>+'Běžné výdaje kapitol'!D26</f>
        <v>0</v>
      </c>
      <c r="C27" s="138">
        <f>+'Běžné výdaje kapitol'!E26</f>
        <v>32814.129999999997</v>
      </c>
      <c r="D27" s="138">
        <f>+'Běžné výdaje kapitol'!F26</f>
        <v>18115.75</v>
      </c>
      <c r="E27" s="839">
        <v>0</v>
      </c>
      <c r="F27" s="949">
        <v>0</v>
      </c>
      <c r="G27" s="950">
        <v>0</v>
      </c>
      <c r="H27" s="950">
        <v>0</v>
      </c>
      <c r="I27" s="925">
        <v>0</v>
      </c>
      <c r="J27" s="139">
        <v>0</v>
      </c>
      <c r="K27" s="140">
        <v>0</v>
      </c>
      <c r="L27" s="169">
        <v>0</v>
      </c>
      <c r="M27" s="925">
        <v>0</v>
      </c>
      <c r="N27" s="369">
        <v>0</v>
      </c>
      <c r="O27" s="140">
        <v>0</v>
      </c>
      <c r="P27" s="140">
        <v>0</v>
      </c>
      <c r="Q27" s="925">
        <v>0</v>
      </c>
      <c r="R27" s="31"/>
      <c r="S27" s="31"/>
    </row>
    <row r="28" spans="1:19" ht="20.25" customHeight="1" x14ac:dyDescent="0.25">
      <c r="A28" s="108" t="s">
        <v>38</v>
      </c>
      <c r="B28" s="137">
        <f>+'23'!E12</f>
        <v>9242</v>
      </c>
      <c r="C28" s="138">
        <f>+'23'!F12</f>
        <v>72269.600000000006</v>
      </c>
      <c r="D28" s="138">
        <f>+'23'!G12</f>
        <v>66887.570000000007</v>
      </c>
      <c r="E28" s="839">
        <f>+'23'!K12</f>
        <v>9242</v>
      </c>
      <c r="F28" s="949">
        <v>0</v>
      </c>
      <c r="G28" s="950">
        <v>0</v>
      </c>
      <c r="H28" s="950">
        <v>0</v>
      </c>
      <c r="I28" s="925">
        <v>0</v>
      </c>
      <c r="J28" s="139">
        <v>0</v>
      </c>
      <c r="K28" s="140">
        <v>0</v>
      </c>
      <c r="L28" s="169">
        <v>0</v>
      </c>
      <c r="M28" s="925">
        <v>0</v>
      </c>
      <c r="N28" s="369">
        <v>0</v>
      </c>
      <c r="O28" s="140">
        <v>0</v>
      </c>
      <c r="P28" s="140">
        <v>0</v>
      </c>
      <c r="Q28" s="925">
        <v>0</v>
      </c>
      <c r="R28" s="31"/>
      <c r="S28" s="31"/>
    </row>
    <row r="29" spans="1:19" ht="20.25" customHeight="1" x14ac:dyDescent="0.25">
      <c r="A29" s="341" t="s">
        <v>83</v>
      </c>
      <c r="B29" s="137">
        <f>+'24'!E12</f>
        <v>6878</v>
      </c>
      <c r="C29" s="138">
        <f>+'24'!F12</f>
        <v>11292.42</v>
      </c>
      <c r="D29" s="138">
        <f>+'24'!G12</f>
        <v>5167.37</v>
      </c>
      <c r="E29" s="923">
        <f>+'24'!K12</f>
        <v>14878</v>
      </c>
      <c r="F29" s="949">
        <v>0</v>
      </c>
      <c r="G29" s="950">
        <v>0</v>
      </c>
      <c r="H29" s="950">
        <v>0</v>
      </c>
      <c r="I29" s="926">
        <v>0</v>
      </c>
      <c r="J29" s="139">
        <v>0</v>
      </c>
      <c r="K29" s="140">
        <v>0</v>
      </c>
      <c r="L29" s="169">
        <v>0</v>
      </c>
      <c r="M29" s="926">
        <v>0</v>
      </c>
      <c r="N29" s="369">
        <v>0</v>
      </c>
      <c r="O29" s="140">
        <v>0</v>
      </c>
      <c r="P29" s="140">
        <v>0</v>
      </c>
      <c r="Q29" s="926">
        <v>0</v>
      </c>
      <c r="R29" s="31"/>
      <c r="S29" s="31"/>
    </row>
    <row r="30" spans="1:19" ht="20.25" customHeight="1" x14ac:dyDescent="0.25">
      <c r="A30" s="341" t="s">
        <v>84</v>
      </c>
      <c r="B30" s="137">
        <f>+'25'!F22</f>
        <v>18326</v>
      </c>
      <c r="C30" s="138">
        <f>+'25'!G22</f>
        <v>21758.91</v>
      </c>
      <c r="D30" s="138">
        <f>+'25'!H22</f>
        <v>10145.99</v>
      </c>
      <c r="E30" s="923">
        <f>+'25'!L22</f>
        <v>21515</v>
      </c>
      <c r="F30" s="949">
        <v>0</v>
      </c>
      <c r="G30" s="950">
        <v>0</v>
      </c>
      <c r="H30" s="950">
        <v>0</v>
      </c>
      <c r="I30" s="926">
        <v>0</v>
      </c>
      <c r="J30" s="139">
        <v>0</v>
      </c>
      <c r="K30" s="140">
        <v>0</v>
      </c>
      <c r="L30" s="169">
        <v>0</v>
      </c>
      <c r="M30" s="926">
        <v>0</v>
      </c>
      <c r="N30" s="369">
        <v>0</v>
      </c>
      <c r="O30" s="140">
        <f>+'25'!G20</f>
        <v>0</v>
      </c>
      <c r="P30" s="140">
        <f>+'25'!H20</f>
        <v>0</v>
      </c>
      <c r="Q30" s="926">
        <v>0</v>
      </c>
      <c r="R30" s="31"/>
      <c r="S30" s="31"/>
    </row>
    <row r="31" spans="1:19" ht="20.25" customHeight="1" x14ac:dyDescent="0.25">
      <c r="A31" s="341" t="s">
        <v>276</v>
      </c>
      <c r="B31" s="137">
        <f>+'26'!F36</f>
        <v>5330594</v>
      </c>
      <c r="C31" s="138">
        <f>+'26'!G36</f>
        <v>5586429.2300000004</v>
      </c>
      <c r="D31" s="138">
        <f>+'26'!H36</f>
        <v>3979749.95</v>
      </c>
      <c r="E31" s="923">
        <f>+'26'!L36</f>
        <v>5892057</v>
      </c>
      <c r="F31" s="949">
        <f>+'26'!F16</f>
        <v>1550</v>
      </c>
      <c r="G31" s="950">
        <f>+'26'!G16</f>
        <v>1550</v>
      </c>
      <c r="H31" s="950">
        <f>+'26'!H16</f>
        <v>1162.8</v>
      </c>
      <c r="I31" s="926">
        <f>+'26'!L16</f>
        <v>1550</v>
      </c>
      <c r="J31" s="139">
        <f>+'26'!F17</f>
        <v>70000</v>
      </c>
      <c r="K31" s="140">
        <f>+'26'!G17</f>
        <v>108715.76</v>
      </c>
      <c r="L31" s="169">
        <f>+'26'!H17</f>
        <v>76952.160000000003</v>
      </c>
      <c r="M31" s="926">
        <f>+'26'!L17</f>
        <v>125352</v>
      </c>
      <c r="N31" s="369">
        <f>'26'!F10+'26'!F14+'26'!F20+'26'!F21</f>
        <v>21430</v>
      </c>
      <c r="O31" s="140">
        <f>'26'!G10+'26'!G14+'26'!G20+'26'!G21</f>
        <v>24479</v>
      </c>
      <c r="P31" s="140">
        <f>'26'!H10+'26'!H14+'26'!H20+'26'!H21</f>
        <v>463.03</v>
      </c>
      <c r="Q31" s="926">
        <f>+'26'!L14+'26'!L21+'26'!L20</f>
        <v>21430</v>
      </c>
      <c r="R31" s="31"/>
      <c r="S31" s="31"/>
    </row>
    <row r="32" spans="1:19" ht="20.25" customHeight="1" thickBot="1" x14ac:dyDescent="0.3">
      <c r="A32" s="341" t="s">
        <v>277</v>
      </c>
      <c r="B32" s="758">
        <f>+'27'!E17</f>
        <v>15150</v>
      </c>
      <c r="C32" s="760">
        <f>+'27'!F17</f>
        <v>5150</v>
      </c>
      <c r="D32" s="760">
        <f>+'27'!G17</f>
        <v>921.34</v>
      </c>
      <c r="E32" s="923">
        <f>+'27'!K17</f>
        <v>8100</v>
      </c>
      <c r="F32" s="949">
        <v>0</v>
      </c>
      <c r="G32" s="950">
        <v>0</v>
      </c>
      <c r="H32" s="950">
        <v>0</v>
      </c>
      <c r="I32" s="926">
        <v>0</v>
      </c>
      <c r="J32" s="139">
        <v>0</v>
      </c>
      <c r="K32" s="140">
        <v>0</v>
      </c>
      <c r="L32" s="169">
        <v>0</v>
      </c>
      <c r="M32" s="926">
        <v>0</v>
      </c>
      <c r="N32" s="369">
        <v>0</v>
      </c>
      <c r="O32" s="140">
        <v>0</v>
      </c>
      <c r="P32" s="140">
        <v>0</v>
      </c>
      <c r="Q32" s="926">
        <v>0</v>
      </c>
      <c r="R32" s="31"/>
      <c r="S32" s="31"/>
    </row>
    <row r="33" spans="1:19" s="35" customFormat="1" ht="30" customHeight="1" thickBot="1" x14ac:dyDescent="0.3">
      <c r="A33" s="404" t="s">
        <v>85</v>
      </c>
      <c r="B33" s="405">
        <f t="shared" ref="B33:K33" si="0">SUM(B10:B32)</f>
        <v>12438008</v>
      </c>
      <c r="C33" s="406">
        <f t="shared" si="0"/>
        <v>13520186.111</v>
      </c>
      <c r="D33" s="407">
        <f t="shared" si="0"/>
        <v>9971358.9980000034</v>
      </c>
      <c r="E33" s="840">
        <f>SUM(E10:E32)</f>
        <v>13044246</v>
      </c>
      <c r="F33" s="878">
        <f>SUM(F10:F32)</f>
        <v>530728</v>
      </c>
      <c r="G33" s="879">
        <f t="shared" ref="G33:H33" si="1">SUM(G10:G32)</f>
        <v>536328.29</v>
      </c>
      <c r="H33" s="880">
        <f t="shared" si="1"/>
        <v>278553.42999999993</v>
      </c>
      <c r="I33" s="927">
        <f t="shared" ref="I33" si="2">SUM(I10:I32)</f>
        <v>372906</v>
      </c>
      <c r="J33" s="881">
        <f t="shared" si="0"/>
        <v>2346376</v>
      </c>
      <c r="K33" s="879">
        <f t="shared" si="0"/>
        <v>2449902.8899999997</v>
      </c>
      <c r="L33" s="880">
        <f t="shared" ref="L33:Q33" si="3">SUM(L10:L32)</f>
        <v>1789835.0399999998</v>
      </c>
      <c r="M33" s="927">
        <f t="shared" si="3"/>
        <v>2460985</v>
      </c>
      <c r="N33" s="882">
        <f t="shared" si="3"/>
        <v>2751740</v>
      </c>
      <c r="O33" s="879">
        <f t="shared" si="3"/>
        <v>3231172.6100000003</v>
      </c>
      <c r="P33" s="880">
        <f t="shared" si="3"/>
        <v>2739037.88</v>
      </c>
      <c r="Q33" s="927">
        <f t="shared" si="3"/>
        <v>2832830</v>
      </c>
      <c r="R33" s="31"/>
      <c r="S33" s="31"/>
    </row>
    <row r="34" spans="1:19" x14ac:dyDescent="0.2">
      <c r="B34" s="31"/>
      <c r="F34" s="31"/>
      <c r="N34" s="31"/>
      <c r="P34" s="31"/>
      <c r="Q34" s="40"/>
      <c r="S34" s="31"/>
    </row>
    <row r="35" spans="1:19" x14ac:dyDescent="0.2">
      <c r="B35" s="31"/>
      <c r="F35" s="31"/>
      <c r="J35" s="31"/>
      <c r="N35" s="31"/>
      <c r="P35" s="31"/>
      <c r="Q35" s="31"/>
      <c r="S35" s="31"/>
    </row>
    <row r="36" spans="1:19" x14ac:dyDescent="0.2">
      <c r="A36" s="400"/>
      <c r="B36" s="400"/>
      <c r="C36" s="400"/>
      <c r="D36" s="400"/>
      <c r="E36" s="831"/>
      <c r="F36" s="400"/>
      <c r="G36" s="400"/>
      <c r="H36" s="400"/>
      <c r="I36" s="832"/>
      <c r="J36" s="400"/>
      <c r="K36" s="400"/>
      <c r="L36" s="400"/>
      <c r="M36" s="831"/>
    </row>
    <row r="37" spans="1:19" x14ac:dyDescent="0.2">
      <c r="I37" s="833"/>
      <c r="J37" s="31"/>
    </row>
  </sheetData>
  <mergeCells count="13">
    <mergeCell ref="B7:E7"/>
    <mergeCell ref="J7:M7"/>
    <mergeCell ref="N7:Q7"/>
    <mergeCell ref="A7:A9"/>
    <mergeCell ref="B8:D8"/>
    <mergeCell ref="E8:E9"/>
    <mergeCell ref="J8:L8"/>
    <mergeCell ref="M8:M9"/>
    <mergeCell ref="N8:P8"/>
    <mergeCell ref="Q8:Q9"/>
    <mergeCell ref="F7:I7"/>
    <mergeCell ref="F8:H8"/>
    <mergeCell ref="I8:I9"/>
  </mergeCells>
  <pageMargins left="0.70866141732283472" right="0.70866141732283472" top="0.78740157480314965" bottom="0.78740157480314965" header="0.31496062992125984" footer="0.31496062992125984"/>
  <pageSetup paperSize="9" scale="4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E297"/>
  <sheetViews>
    <sheetView workbookViewId="0"/>
  </sheetViews>
  <sheetFormatPr defaultColWidth="9.140625" defaultRowHeight="12.75" x14ac:dyDescent="0.2"/>
  <cols>
    <col min="1" max="1" width="70.7109375" style="29" customWidth="1"/>
    <col min="2" max="5" width="20.7109375" style="40" customWidth="1"/>
    <col min="6" max="16384" width="9.140625" style="29"/>
  </cols>
  <sheetData>
    <row r="1" spans="1:5" ht="16.5" customHeight="1" x14ac:dyDescent="0.2"/>
    <row r="2" spans="1:5" ht="20.100000000000001" customHeight="1" x14ac:dyDescent="0.35">
      <c r="A2" s="27" t="s">
        <v>506</v>
      </c>
    </row>
    <row r="3" spans="1:5" ht="15" customHeight="1" x14ac:dyDescent="0.2"/>
    <row r="4" spans="1:5" ht="20.100000000000001" customHeight="1" x14ac:dyDescent="0.3">
      <c r="A4" s="39" t="s">
        <v>360</v>
      </c>
    </row>
    <row r="5" spans="1:5" ht="15" customHeight="1" x14ac:dyDescent="0.3">
      <c r="A5" s="39"/>
    </row>
    <row r="6" spans="1:5" ht="15" customHeight="1" thickBot="1" x14ac:dyDescent="0.3">
      <c r="E6" s="45" t="s">
        <v>0</v>
      </c>
    </row>
    <row r="7" spans="1:5" s="71" customFormat="1" ht="18.75" customHeight="1" thickBot="1" x14ac:dyDescent="0.25">
      <c r="A7" s="1454" t="s">
        <v>25</v>
      </c>
      <c r="B7" s="1456" t="s">
        <v>507</v>
      </c>
      <c r="C7" s="1457"/>
      <c r="D7" s="1457"/>
      <c r="E7" s="1458"/>
    </row>
    <row r="8" spans="1:5" ht="30" customHeight="1" thickBot="1" x14ac:dyDescent="0.25">
      <c r="A8" s="1455"/>
      <c r="B8" s="259" t="s">
        <v>124</v>
      </c>
      <c r="C8" s="258" t="s">
        <v>315</v>
      </c>
      <c r="D8" s="260" t="s">
        <v>314</v>
      </c>
      <c r="E8" s="261" t="s">
        <v>85</v>
      </c>
    </row>
    <row r="9" spans="1:5" ht="20.25" customHeight="1" x14ac:dyDescent="0.25">
      <c r="A9" s="133" t="s">
        <v>97</v>
      </c>
      <c r="B9" s="135">
        <f>+'01'!I21</f>
        <v>68197</v>
      </c>
      <c r="C9" s="112">
        <f>+'01'!J21</f>
        <v>5846</v>
      </c>
      <c r="D9" s="136">
        <f>+'01'!K21</f>
        <v>1089</v>
      </c>
      <c r="E9" s="206">
        <f>B9+C9+D9</f>
        <v>75132</v>
      </c>
    </row>
    <row r="10" spans="1:5" ht="20.25" customHeight="1" x14ac:dyDescent="0.25">
      <c r="A10" s="134" t="s">
        <v>98</v>
      </c>
      <c r="B10" s="135">
        <f>+'02'!I25</f>
        <v>71886</v>
      </c>
      <c r="C10" s="112">
        <f>+'02'!J25</f>
        <v>10266</v>
      </c>
      <c r="D10" s="136">
        <f>+'02'!K25</f>
        <v>3003</v>
      </c>
      <c r="E10" s="207">
        <f t="shared" ref="E10:E30" si="0">B10+C10+D10</f>
        <v>85155</v>
      </c>
    </row>
    <row r="11" spans="1:5" ht="20.25" customHeight="1" x14ac:dyDescent="0.25">
      <c r="A11" s="134" t="s">
        <v>28</v>
      </c>
      <c r="B11" s="135">
        <f>+'03'!I12</f>
        <v>58479</v>
      </c>
      <c r="C11" s="112">
        <f>+'03'!J12</f>
        <v>4225</v>
      </c>
      <c r="D11" s="136">
        <f>+'03'!K12</f>
        <v>370</v>
      </c>
      <c r="E11" s="207">
        <f t="shared" si="0"/>
        <v>63074</v>
      </c>
    </row>
    <row r="12" spans="1:5" ht="20.25" customHeight="1" x14ac:dyDescent="0.25">
      <c r="A12" s="134" t="s">
        <v>29</v>
      </c>
      <c r="B12" s="135">
        <f>+'04'!I23</f>
        <v>2655458</v>
      </c>
      <c r="C12" s="112">
        <f>+'04'!J23</f>
        <v>180574</v>
      </c>
      <c r="D12" s="136">
        <f>+'04'!K23</f>
        <v>76790</v>
      </c>
      <c r="E12" s="207">
        <f t="shared" si="0"/>
        <v>2912822</v>
      </c>
    </row>
    <row r="13" spans="1:5" ht="20.25" customHeight="1" x14ac:dyDescent="0.25">
      <c r="A13" s="134" t="s">
        <v>95</v>
      </c>
      <c r="B13" s="135">
        <f>+'05'!I110</f>
        <v>823551</v>
      </c>
      <c r="C13" s="112">
        <f>+'05'!J110</f>
        <v>220092</v>
      </c>
      <c r="D13" s="136">
        <f>+'05'!K110</f>
        <v>77500</v>
      </c>
      <c r="E13" s="207">
        <f t="shared" si="0"/>
        <v>1121143</v>
      </c>
    </row>
    <row r="14" spans="1:5" ht="20.25" customHeight="1" x14ac:dyDescent="0.25">
      <c r="A14" s="134" t="s">
        <v>30</v>
      </c>
      <c r="B14" s="135">
        <f>+'06'!I78</f>
        <v>483120</v>
      </c>
      <c r="C14" s="112">
        <f>+'06'!J78</f>
        <v>73116</v>
      </c>
      <c r="D14" s="136">
        <f>+'06'!K78</f>
        <v>36267</v>
      </c>
      <c r="E14" s="207">
        <f t="shared" si="0"/>
        <v>592503</v>
      </c>
    </row>
    <row r="15" spans="1:5" ht="20.25" customHeight="1" x14ac:dyDescent="0.25">
      <c r="A15" s="134" t="s">
        <v>31</v>
      </c>
      <c r="B15" s="135">
        <f>+'07'!I23</f>
        <v>641761</v>
      </c>
      <c r="C15" s="112">
        <f>+'07'!J23</f>
        <v>75500</v>
      </c>
      <c r="D15" s="136">
        <f>+'07'!K23</f>
        <v>37752</v>
      </c>
      <c r="E15" s="207">
        <f t="shared" si="0"/>
        <v>755013</v>
      </c>
    </row>
    <row r="16" spans="1:5" ht="20.25" customHeight="1" x14ac:dyDescent="0.25">
      <c r="A16" s="134" t="s">
        <v>32</v>
      </c>
      <c r="B16" s="135">
        <f>+'08'!I21</f>
        <v>15150</v>
      </c>
      <c r="C16" s="112">
        <f>+'08'!J21</f>
        <v>7400</v>
      </c>
      <c r="D16" s="136">
        <f>+'08'!K21</f>
        <v>100</v>
      </c>
      <c r="E16" s="207">
        <f t="shared" si="0"/>
        <v>22650</v>
      </c>
    </row>
    <row r="17" spans="1:5" ht="20.25" customHeight="1" x14ac:dyDescent="0.25">
      <c r="A17" s="134" t="s">
        <v>33</v>
      </c>
      <c r="B17" s="135">
        <f>+'09'!I30</f>
        <v>72231</v>
      </c>
      <c r="C17" s="112">
        <f>+'09'!J30</f>
        <v>0</v>
      </c>
      <c r="D17" s="136">
        <f>+'09'!K30</f>
        <v>5168</v>
      </c>
      <c r="E17" s="207">
        <f t="shared" si="0"/>
        <v>77399</v>
      </c>
    </row>
    <row r="18" spans="1:5" ht="20.25" customHeight="1" x14ac:dyDescent="0.25">
      <c r="A18" s="134" t="s">
        <v>34</v>
      </c>
      <c r="B18" s="135">
        <f>+'10'!I24</f>
        <v>33758</v>
      </c>
      <c r="C18" s="112">
        <f>+'10'!J24</f>
        <v>20184</v>
      </c>
      <c r="D18" s="136">
        <f>+'10'!K24</f>
        <v>2529</v>
      </c>
      <c r="E18" s="207">
        <f t="shared" si="0"/>
        <v>56471</v>
      </c>
    </row>
    <row r="19" spans="1:5" ht="20.25" customHeight="1" x14ac:dyDescent="0.25">
      <c r="A19" s="134" t="s">
        <v>35</v>
      </c>
      <c r="B19" s="135">
        <f>+'11'!I35</f>
        <v>23949</v>
      </c>
      <c r="C19" s="112">
        <f>+'11'!J35</f>
        <v>277</v>
      </c>
      <c r="D19" s="136">
        <f>+'11'!K35</f>
        <v>114</v>
      </c>
      <c r="E19" s="207">
        <f t="shared" si="0"/>
        <v>24340</v>
      </c>
    </row>
    <row r="20" spans="1:5" ht="20.25" customHeight="1" x14ac:dyDescent="0.25">
      <c r="A20" s="134" t="s">
        <v>36</v>
      </c>
      <c r="B20" s="135">
        <f>+'13'!H37</f>
        <v>2310</v>
      </c>
      <c r="C20" s="112">
        <f>+'13'!I37</f>
        <v>260</v>
      </c>
      <c r="D20" s="136">
        <f>+'13'!J37</f>
        <v>130</v>
      </c>
      <c r="E20" s="207">
        <f t="shared" si="0"/>
        <v>2700</v>
      </c>
    </row>
    <row r="21" spans="1:5" ht="20.25" customHeight="1" x14ac:dyDescent="0.25">
      <c r="A21" s="106" t="s">
        <v>54</v>
      </c>
      <c r="B21" s="135">
        <f>+'14'!I25</f>
        <v>727848</v>
      </c>
      <c r="C21" s="112">
        <f>+'14'!J25</f>
        <v>25372</v>
      </c>
      <c r="D21" s="136">
        <f>+'14'!K25</f>
        <v>10760</v>
      </c>
      <c r="E21" s="207">
        <f t="shared" si="0"/>
        <v>763980</v>
      </c>
    </row>
    <row r="22" spans="1:5" ht="20.25" customHeight="1" x14ac:dyDescent="0.25">
      <c r="A22" s="106" t="s">
        <v>81</v>
      </c>
      <c r="B22" s="135">
        <f>+'15'!H10</f>
        <v>1543</v>
      </c>
      <c r="C22" s="112">
        <f>+'15'!I10</f>
        <v>0</v>
      </c>
      <c r="D22" s="136">
        <f>+'15'!J10</f>
        <v>0</v>
      </c>
      <c r="E22" s="207">
        <f t="shared" si="0"/>
        <v>1543</v>
      </c>
    </row>
    <row r="23" spans="1:5" ht="20.25" customHeight="1" x14ac:dyDescent="0.25">
      <c r="A23" s="106" t="s">
        <v>55</v>
      </c>
      <c r="B23" s="135">
        <f>+'16'!H10</f>
        <v>85</v>
      </c>
      <c r="C23" s="112">
        <f>+'16'!I10</f>
        <v>10</v>
      </c>
      <c r="D23" s="136">
        <f>+'16'!J10</f>
        <v>5</v>
      </c>
      <c r="E23" s="207">
        <f>+'16'!K10</f>
        <v>100</v>
      </c>
    </row>
    <row r="24" spans="1:5" ht="20.25" customHeight="1" x14ac:dyDescent="0.25">
      <c r="A24" s="134" t="s">
        <v>37</v>
      </c>
      <c r="B24" s="135">
        <f>+'17'!I123</f>
        <v>467558</v>
      </c>
      <c r="C24" s="112">
        <f>+'17'!J123</f>
        <v>48545</v>
      </c>
      <c r="D24" s="136">
        <f>+'17'!K123</f>
        <v>24342</v>
      </c>
      <c r="E24" s="207">
        <f t="shared" si="0"/>
        <v>540445</v>
      </c>
    </row>
    <row r="25" spans="1:5" ht="20.25" customHeight="1" x14ac:dyDescent="0.25">
      <c r="A25" s="106" t="s">
        <v>82</v>
      </c>
      <c r="B25" s="135">
        <f>+'18'!H18</f>
        <v>3634</v>
      </c>
      <c r="C25" s="112">
        <f>+'18'!I18</f>
        <v>240</v>
      </c>
      <c r="D25" s="136">
        <f>+'18'!J18</f>
        <v>110</v>
      </c>
      <c r="E25" s="207">
        <f t="shared" si="0"/>
        <v>3984</v>
      </c>
    </row>
    <row r="26" spans="1:5" ht="20.25" customHeight="1" x14ac:dyDescent="0.25">
      <c r="A26" s="134" t="s">
        <v>38</v>
      </c>
      <c r="B26" s="135">
        <f>+'23'!H12</f>
        <v>9022</v>
      </c>
      <c r="C26" s="112">
        <f>+'23'!I12</f>
        <v>100</v>
      </c>
      <c r="D26" s="136">
        <f>+'23'!J12</f>
        <v>120</v>
      </c>
      <c r="E26" s="207">
        <f t="shared" si="0"/>
        <v>9242</v>
      </c>
    </row>
    <row r="27" spans="1:5" ht="20.25" customHeight="1" x14ac:dyDescent="0.25">
      <c r="A27" s="327" t="s">
        <v>83</v>
      </c>
      <c r="B27" s="135">
        <f>+'24'!H12</f>
        <v>0</v>
      </c>
      <c r="C27" s="112">
        <f>+'24'!I12</f>
        <v>0</v>
      </c>
      <c r="D27" s="136">
        <f>+'24'!J12</f>
        <v>14878</v>
      </c>
      <c r="E27" s="207">
        <f t="shared" si="0"/>
        <v>14878</v>
      </c>
    </row>
    <row r="28" spans="1:5" ht="20.25" customHeight="1" x14ac:dyDescent="0.25">
      <c r="A28" s="113" t="s">
        <v>84</v>
      </c>
      <c r="B28" s="135">
        <f>+'25'!I22</f>
        <v>20715</v>
      </c>
      <c r="C28" s="112">
        <f>+'25'!J22</f>
        <v>201</v>
      </c>
      <c r="D28" s="136">
        <f>+'25'!K22</f>
        <v>599</v>
      </c>
      <c r="E28" s="207">
        <f t="shared" si="0"/>
        <v>21515</v>
      </c>
    </row>
    <row r="29" spans="1:5" ht="20.25" customHeight="1" x14ac:dyDescent="0.25">
      <c r="A29" s="412" t="s">
        <v>276</v>
      </c>
      <c r="B29" s="135">
        <f>+'26'!I36</f>
        <v>5008250</v>
      </c>
      <c r="C29" s="112">
        <f>+'26'!J36</f>
        <v>589206</v>
      </c>
      <c r="D29" s="136">
        <f>+'26'!K36</f>
        <v>294601</v>
      </c>
      <c r="E29" s="207">
        <f t="shared" si="0"/>
        <v>5892057</v>
      </c>
    </row>
    <row r="30" spans="1:5" ht="20.25" customHeight="1" thickBot="1" x14ac:dyDescent="0.3">
      <c r="A30" s="341" t="s">
        <v>277</v>
      </c>
      <c r="B30" s="135">
        <f>+'27'!H17</f>
        <v>6604</v>
      </c>
      <c r="C30" s="112">
        <f>+'27'!I17</f>
        <v>1000</v>
      </c>
      <c r="D30" s="136">
        <f>+'27'!J17</f>
        <v>496</v>
      </c>
      <c r="E30" s="408">
        <f t="shared" si="0"/>
        <v>8100</v>
      </c>
    </row>
    <row r="31" spans="1:5" s="35" customFormat="1" ht="30.75" customHeight="1" thickBot="1" x14ac:dyDescent="0.3">
      <c r="A31" s="409" t="s">
        <v>59</v>
      </c>
      <c r="B31" s="263">
        <f>SUM(B9:B30)</f>
        <v>11195109</v>
      </c>
      <c r="C31" s="205">
        <f>SUM(C9:C30)</f>
        <v>1262414</v>
      </c>
      <c r="D31" s="410">
        <f>SUM(D9:D30)</f>
        <v>586723</v>
      </c>
      <c r="E31" s="411">
        <f>SUM(E9:E30)</f>
        <v>13044246</v>
      </c>
    </row>
    <row r="32" spans="1:5" x14ac:dyDescent="0.2">
      <c r="B32" s="31"/>
      <c r="C32" s="31"/>
      <c r="D32" s="31"/>
    </row>
    <row r="33" spans="2:4" x14ac:dyDescent="0.2">
      <c r="B33" s="31"/>
      <c r="C33" s="31"/>
      <c r="D33" s="31"/>
    </row>
    <row r="297" spans="1:1" s="40" customFormat="1" x14ac:dyDescent="0.2">
      <c r="A297" s="44"/>
    </row>
  </sheetData>
  <mergeCells count="2">
    <mergeCell ref="A7:A8"/>
    <mergeCell ref="B7:E7"/>
  </mergeCells>
  <pageMargins left="0.70866141732283472" right="0.70866141732283472" top="0.78740157480314965" bottom="0.78740157480314965" header="0.31496062992125984" footer="0.31496062992125984"/>
  <pageSetup paperSize="9" scale="5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35</vt:i4>
      </vt:variant>
      <vt:variant>
        <vt:lpstr>Pojmenované oblasti</vt:lpstr>
      </vt:variant>
      <vt:variant>
        <vt:i4>7</vt:i4>
      </vt:variant>
    </vt:vector>
  </HeadingPairs>
  <TitlesOfParts>
    <vt:vector size="42" baseType="lpstr">
      <vt:lpstr>Úvodní strana</vt:lpstr>
      <vt:lpstr>Bilance</vt:lpstr>
      <vt:lpstr>Sumář příjmů a výdajů</vt:lpstr>
      <vt:lpstr>Fondy</vt:lpstr>
      <vt:lpstr>Projekty EU a NZ</vt:lpstr>
      <vt:lpstr>Dluhová služba </vt:lpstr>
      <vt:lpstr>Kapitálové výdaje </vt:lpstr>
      <vt:lpstr>Kapitálové výdaje v kapitolách</vt:lpstr>
      <vt:lpstr>Specifické rezervy</vt:lpstr>
      <vt:lpstr>Příspěvky PO</vt:lpstr>
      <vt:lpstr>Běžné výdaje kapitol</vt:lpstr>
      <vt:lpstr>01</vt:lpstr>
      <vt:lpstr>02</vt:lpstr>
      <vt:lpstr>03</vt:lpstr>
      <vt:lpstr>04</vt:lpstr>
      <vt:lpstr>05</vt:lpstr>
      <vt:lpstr>06</vt:lpstr>
      <vt:lpstr>07</vt:lpstr>
      <vt:lpstr>08</vt:lpstr>
      <vt:lpstr>09</vt:lpstr>
      <vt:lpstr>10</vt:lpstr>
      <vt:lpstr>11</vt:lpstr>
      <vt:lpstr>13</vt:lpstr>
      <vt:lpstr>14</vt:lpstr>
      <vt:lpstr>15</vt:lpstr>
      <vt:lpstr>16</vt:lpstr>
      <vt:lpstr>17</vt:lpstr>
      <vt:lpstr>18</vt:lpstr>
      <vt:lpstr>23</vt:lpstr>
      <vt:lpstr>24</vt:lpstr>
      <vt:lpstr>25</vt:lpstr>
      <vt:lpstr>26</vt:lpstr>
      <vt:lpstr>27</vt:lpstr>
      <vt:lpstr>Kapitoly - shrnutí BV</vt:lpstr>
      <vt:lpstr>Semafor</vt:lpstr>
      <vt:lpstr>'05'!Názvy_tisku</vt:lpstr>
      <vt:lpstr>'06'!Názvy_tisku</vt:lpstr>
      <vt:lpstr>'08'!Názvy_tisku</vt:lpstr>
      <vt:lpstr>'13'!Názvy_tisku</vt:lpstr>
      <vt:lpstr>'17'!Názvy_tisku</vt:lpstr>
      <vt:lpstr>'Příspěvky PO'!Názvy_tisku</vt:lpstr>
      <vt:lpstr>'Sumář příjmů a výdajů'!Názvy_tisku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Pokorná Lucie</cp:lastModifiedBy>
  <cp:lastPrinted>2024-11-04T14:56:36Z</cp:lastPrinted>
  <dcterms:created xsi:type="dcterms:W3CDTF">2014-09-16T07:52:57Z</dcterms:created>
  <dcterms:modified xsi:type="dcterms:W3CDTF">2024-11-18T11:47:26Z</dcterms:modified>
</cp:coreProperties>
</file>